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richter\Desktop\"/>
    </mc:Choice>
  </mc:AlternateContent>
  <xr:revisionPtr revIDLastSave="0" documentId="13_ncr:1_{F0E307FC-12E8-489F-9BE6-B21E28D80020}" xr6:coauthVersionLast="47" xr6:coauthVersionMax="47" xr10:uidLastSave="{00000000-0000-0000-0000-000000000000}"/>
  <bookViews>
    <workbookView xWindow="3555" yWindow="3705" windowWidth="28800" windowHeight="15345" xr2:uid="{00000000-000D-0000-FFFF-FFFF00000000}"/>
  </bookViews>
  <sheets>
    <sheet name="MAIN" sheetId="3" r:id="rId1"/>
    <sheet name="Speicher" sheetId="5" state="veryHidden" r:id="rId2"/>
    <sheet name="Verbrauch" sheetId="4" state="veryHidden" r:id="rId3"/>
    <sheet name="Module" sheetId="8" state="veryHidden" r:id="rId4"/>
    <sheet name="ReleaseNotes" sheetId="9" r:id="rId5"/>
    <sheet name="Data" sheetId="2" state="veryHidden" r:id="rId6"/>
  </sheets>
  <definedNames>
    <definedName name="blank_1">Module!$Q$3:$Q$14</definedName>
    <definedName name="blank_2">Module!$P$3:$P$14</definedName>
    <definedName name="blank_3">Module!$O$3:$O$14</definedName>
    <definedName name="blank_4">Module!$N$3:$N$14</definedName>
    <definedName name="blank_5">Module!$M$3:$M$14</definedName>
    <definedName name="blank_6">Module!$L$3:$L$14</definedName>
    <definedName name="blank_7">Module!$K$3:$K$14</definedName>
    <definedName name="_xlnm.Print_Area" localSheetId="0">MAIN!$B$2:$K$39</definedName>
    <definedName name="Vertex_S__NEG18.R28">Module!$F$3:$F$14</definedName>
    <definedName name="Vertex_S__NEG9.R28">Module!$C$3:$C$14</definedName>
    <definedName name="Vertex_S__NEG9R.25_Full_Black">Module!$E$3:$E$14</definedName>
    <definedName name="Vertex_S__NEG9RC.27_Clear_Black">Module!$D$3:$D$14</definedName>
    <definedName name="Vertex_S_DE09.05">Module!$G$3:$G$14</definedName>
    <definedName name="Vertex_S_DE09.08">Module!$H$3:$H$14</definedName>
    <definedName name="Vertex_S_DE09R.05__Full_Black">Module!$I$3:$I$14</definedName>
    <definedName name="Vertex_S_DE09R.08_Black_Frame">Module!$J$3:$J$14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D9" i="3"/>
  <c r="F35" i="3"/>
  <c r="J34" i="3"/>
  <c r="B20" i="3"/>
  <c r="B18" i="3"/>
  <c r="B17" i="3"/>
  <c r="B15" i="3"/>
  <c r="B14" i="3"/>
  <c r="B13" i="3"/>
  <c r="B11" i="3"/>
  <c r="G20" i="3"/>
  <c r="E17" i="3"/>
  <c r="C13" i="4"/>
  <c r="C9" i="4"/>
  <c r="G23" i="3"/>
  <c r="G24" i="3"/>
  <c r="U14" i="2"/>
  <c r="U15" i="2"/>
  <c r="U13" i="2"/>
  <c r="T14" i="2"/>
  <c r="T15" i="2"/>
  <c r="T13" i="2"/>
  <c r="S15" i="2"/>
  <c r="S14" i="2"/>
  <c r="S13" i="2"/>
  <c r="K24" i="3"/>
  <c r="L4" i="2"/>
  <c r="L2" i="2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5" i="8"/>
  <c r="S18" i="2" l="1"/>
  <c r="T18" i="2" s="1"/>
  <c r="S19" i="2"/>
  <c r="T19" i="2" s="1"/>
  <c r="K23" i="3"/>
  <c r="S17" i="2"/>
  <c r="T17" i="2" s="1"/>
  <c r="K22" i="3"/>
  <c r="U18" i="2"/>
  <c r="U17" i="2"/>
  <c r="U19" i="2"/>
  <c r="T20" i="2" l="1"/>
  <c r="J16" i="3" s="1"/>
  <c r="C33" i="3" l="1"/>
  <c r="C12" i="4" l="1"/>
  <c r="C35" i="3"/>
  <c r="E38" i="3" l="1"/>
  <c r="C20" i="5"/>
  <c r="C21" i="5" s="1"/>
  <c r="J20" i="5"/>
  <c r="L20" i="5" s="1"/>
  <c r="J21" i="5"/>
  <c r="L21" i="5" s="1"/>
  <c r="J22" i="5"/>
  <c r="L22" i="5" s="1"/>
  <c r="J23" i="5"/>
  <c r="L23" i="5" s="1"/>
  <c r="J24" i="5"/>
  <c r="L24" i="5" s="1"/>
  <c r="J19" i="5"/>
  <c r="L19" i="5" s="1"/>
  <c r="C25" i="5"/>
  <c r="C29" i="5" l="1"/>
  <c r="C28" i="5"/>
  <c r="D24" i="3"/>
  <c r="C4" i="5"/>
  <c r="C15" i="5" s="1"/>
  <c r="G13" i="3"/>
  <c r="C10" i="4" l="1"/>
  <c r="C11" i="4"/>
  <c r="C8" i="4"/>
  <c r="C5" i="4"/>
  <c r="C3" i="4"/>
  <c r="J10" i="5"/>
  <c r="C6" i="4" l="1"/>
  <c r="C14" i="4"/>
  <c r="C15" i="4" s="1"/>
  <c r="D20" i="3" s="1"/>
  <c r="D15" i="3" l="1"/>
  <c r="D21" i="3" s="1"/>
  <c r="D25" i="3" l="1"/>
  <c r="J11" i="3" s="1"/>
  <c r="J14" i="3" s="1"/>
  <c r="C2" i="5"/>
  <c r="C7" i="5" s="1"/>
  <c r="C12" i="5" s="1"/>
  <c r="C18" i="5" s="1"/>
  <c r="D30" i="3" s="1"/>
  <c r="G25" i="3" l="1"/>
  <c r="J17" i="3"/>
  <c r="J18" i="3" s="1"/>
  <c r="E33" i="3"/>
  <c r="F33" i="3" s="1"/>
  <c r="C3" i="5"/>
  <c r="C30" i="5" s="1"/>
  <c r="C10" i="5"/>
  <c r="C16" i="5" s="1"/>
  <c r="C6" i="5"/>
  <c r="C34" i="3" l="1"/>
  <c r="F34" i="3" s="1"/>
  <c r="C11" i="5"/>
  <c r="C31" i="5"/>
  <c r="C17" i="5" l="1"/>
  <c r="C19" i="5" s="1"/>
  <c r="D28" i="3" s="1"/>
  <c r="C34" i="5"/>
  <c r="J28" i="3" s="1"/>
  <c r="C33" i="5"/>
  <c r="C32" i="5"/>
  <c r="J21" i="3"/>
  <c r="D29" i="3" l="1"/>
  <c r="C22" i="5"/>
  <c r="C35" i="5" s="1"/>
  <c r="C23" i="5"/>
  <c r="C36" i="5" l="1"/>
  <c r="J29" i="3" s="1"/>
  <c r="C37" i="5"/>
  <c r="J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Koerner_Lars TS/SA</author>
  </authors>
  <commentList>
    <comment ref="D23" authorId="0" shapeId="0" xr:uid="{1F0C8DB2-E7F2-431D-BBB5-DA68E7B91E59}">
      <text>
        <r>
          <rPr>
            <b/>
            <sz val="9"/>
            <color indexed="81"/>
            <rFont val="Tahoma"/>
            <family val="2"/>
          </rPr>
          <t>Koerner_Lars TS/SA:</t>
        </r>
        <r>
          <rPr>
            <sz val="9"/>
            <color indexed="81"/>
            <rFont val="Tahoma"/>
            <family val="2"/>
          </rPr>
          <t xml:space="preserve">
Werte von 500 bis 1400 erlaubt.</t>
        </r>
      </text>
    </comment>
    <comment ref="B24" authorId="0" shapeId="0" xr:uid="{3808558C-34B2-4E8C-ACFA-3260F9C552EA}">
      <text>
        <r>
          <rPr>
            <b/>
            <sz val="9"/>
            <color indexed="81"/>
            <rFont val="Tahoma"/>
            <family val="2"/>
          </rPr>
          <t>Koerner_Lars TS/SA:</t>
        </r>
        <r>
          <rPr>
            <sz val="9"/>
            <color indexed="81"/>
            <rFont val="Tahoma"/>
            <family val="2"/>
          </rPr>
          <t xml:space="preserve">
Idealerweise Dach voll belegen, um Anlage zukunftssicher zu machen.</t>
        </r>
      </text>
    </comment>
  </commentList>
</comments>
</file>

<file path=xl/sharedStrings.xml><?xml version="1.0" encoding="utf-8"?>
<sst xmlns="http://schemas.openxmlformats.org/spreadsheetml/2006/main" count="257" uniqueCount="208">
  <si>
    <t>Series</t>
  </si>
  <si>
    <t>kWh/kWp</t>
  </si>
  <si>
    <t>Strings</t>
  </si>
  <si>
    <t>Phases</t>
  </si>
  <si>
    <t>kW</t>
  </si>
  <si>
    <t>Module</t>
  </si>
  <si>
    <t>Demand</t>
  </si>
  <si>
    <t>Household</t>
  </si>
  <si>
    <t>kWh</t>
  </si>
  <si>
    <t>km/year</t>
  </si>
  <si>
    <t>Option</t>
  </si>
  <si>
    <t>Building standard</t>
  </si>
  <si>
    <t>Heating demand</t>
  </si>
  <si>
    <t>m²</t>
  </si>
  <si>
    <t>kWh/m²</t>
  </si>
  <si>
    <t>kWh/year</t>
  </si>
  <si>
    <t>Share heat pump</t>
  </si>
  <si>
    <t>Electricity demand heat pump</t>
  </si>
  <si>
    <t>kWh/100km</t>
  </si>
  <si>
    <t>kWp</t>
  </si>
  <si>
    <t>Wp</t>
  </si>
  <si>
    <t>kWh/day</t>
  </si>
  <si>
    <t>kW/kWh</t>
  </si>
  <si>
    <t>kWp per 1000kWh/year demand</t>
  </si>
  <si>
    <t>kWh per 1kWp PV system</t>
  </si>
  <si>
    <t>kWh per 1000 kWh/year demand (This assumes 50% nighttime usage)</t>
  </si>
  <si>
    <t>kW per kWh battery capacity</t>
  </si>
  <si>
    <t>nominal</t>
  </si>
  <si>
    <t>min 1-phase</t>
  </si>
  <si>
    <t>min-3-phase</t>
  </si>
  <si>
    <t>Voltage</t>
  </si>
  <si>
    <t>Current</t>
  </si>
  <si>
    <t>Volts</t>
  </si>
  <si>
    <t>Amps</t>
  </si>
  <si>
    <t>TRH 6K-T2</t>
  </si>
  <si>
    <t>TRH 8K-T3</t>
  </si>
  <si>
    <t>TRH 10K-T3</t>
  </si>
  <si>
    <t>TRH 12K-T3</t>
  </si>
  <si>
    <t>Release</t>
  </si>
  <si>
    <t>Lars Koerner</t>
  </si>
  <si>
    <t>Netzanschluss</t>
  </si>
  <si>
    <t>3-phasig</t>
  </si>
  <si>
    <t>Hybridwechselrichter</t>
  </si>
  <si>
    <t>Empfohlene PV-Leistung wird erreicht mit</t>
  </si>
  <si>
    <t>Modulen</t>
  </si>
  <si>
    <t>Mit dieser Anzahl weiterplanen?</t>
  </si>
  <si>
    <t>nein</t>
  </si>
  <si>
    <t>ja</t>
  </si>
  <si>
    <t>Tatsächliche Leistung der PV-Anlage:</t>
  </si>
  <si>
    <t>Anzahl der PV-Strings</t>
  </si>
  <si>
    <t>String min</t>
  </si>
  <si>
    <t>String max</t>
  </si>
  <si>
    <t>Tatsächliches Nennleistungsverhältnis</t>
  </si>
  <si>
    <t>Mit diesem WR-Modell weiterplanen?</t>
  </si>
  <si>
    <t>R1.0</t>
  </si>
  <si>
    <t>erstellt/geändert von</t>
  </si>
  <si>
    <t>Personen im Haushalt</t>
  </si>
  <si>
    <t>Normverbrauch</t>
  </si>
  <si>
    <t>Mit Normverbrauch weiterplanen?</t>
  </si>
  <si>
    <t>Elektroauto(s) vorhanden?</t>
  </si>
  <si>
    <t>km</t>
  </si>
  <si>
    <t>Wärmepumpe vorhanden?</t>
  </si>
  <si>
    <t>Gebäudestandard</t>
  </si>
  <si>
    <t>Geschätzter spezifischer Ertrag der PV-Anlage</t>
  </si>
  <si>
    <t>Round to full 100s</t>
  </si>
  <si>
    <t>Geschätzter Stromverbrauch</t>
  </si>
  <si>
    <t>Projektierte PV-Leistung</t>
  </si>
  <si>
    <t>Anteil Stromverbrauch nachts</t>
  </si>
  <si>
    <t>Stromverbrauch nachts</t>
  </si>
  <si>
    <t>Stromverbrauch gesamt</t>
  </si>
  <si>
    <t>Speicherkapazität</t>
  </si>
  <si>
    <t>mit dynamischem Stromtarif</t>
  </si>
  <si>
    <t>Batteriemodell</t>
  </si>
  <si>
    <t>minimale Modulanzahl</t>
  </si>
  <si>
    <t>empfohlene Modulanzahl</t>
  </si>
  <si>
    <t>maximale Modulanzahl</t>
  </si>
  <si>
    <t>TRBM 2.5K-HT</t>
  </si>
  <si>
    <t>max. DOD</t>
  </si>
  <si>
    <t>nutzbar</t>
  </si>
  <si>
    <t>technisch bedingt</t>
  </si>
  <si>
    <t>empfohlen (nach HTW)</t>
  </si>
  <si>
    <t>maximal (nach HTW)</t>
  </si>
  <si>
    <t>(nach HTW)</t>
  </si>
  <si>
    <t>Nutzbare Kapazität</t>
  </si>
  <si>
    <t>Nennkapazität</t>
  </si>
  <si>
    <t>Nennspannung</t>
  </si>
  <si>
    <t>Leistungslimit PV-Module</t>
  </si>
  <si>
    <t>Leistungslimit WR</t>
  </si>
  <si>
    <t>Speicherkapazität zu PV-Leistung</t>
  </si>
  <si>
    <t>Empfehlungen HTW Berlin</t>
  </si>
  <si>
    <t>Minimale Leistung PV-Anlage</t>
  </si>
  <si>
    <t>Maximale Speicherkapazität</t>
  </si>
  <si>
    <t>Empfohlene Speicherkapazität</t>
  </si>
  <si>
    <t>Empfohlene Ladeleistung</t>
  </si>
  <si>
    <t>Verbrauchsberechnung</t>
  </si>
  <si>
    <t>Elektroauto</t>
  </si>
  <si>
    <t>Verbrauch</t>
  </si>
  <si>
    <t>Anteil Ladung zu Hause</t>
  </si>
  <si>
    <t>Stromverbrauch</t>
  </si>
  <si>
    <t>Wärmebedarf</t>
  </si>
  <si>
    <t>Beheizte Wohnfläche</t>
  </si>
  <si>
    <t>Spez. Wärmebedarf</t>
  </si>
  <si>
    <t>Leistungszahl (COP)</t>
  </si>
  <si>
    <t>Anteil Wärmepumpe</t>
  </si>
  <si>
    <t>(Rest durch Heizstab)</t>
  </si>
  <si>
    <t>Empfohlenes Speichersystem (min)</t>
  </si>
  <si>
    <t>Empfohlenes Speichersystem (max)</t>
  </si>
  <si>
    <t>Trina Storage Battery Modules</t>
  </si>
  <si>
    <t>Trina Storage Battery Systems</t>
  </si>
  <si>
    <t>TRB 7.5K-HT</t>
  </si>
  <si>
    <t>TRB 10K-HT</t>
  </si>
  <si>
    <t>TRB 12.5K-HT</t>
  </si>
  <si>
    <t>TRB 15K-HT</t>
  </si>
  <si>
    <t>TRB 17.5K-HT</t>
  </si>
  <si>
    <t>TRB 20K-HT</t>
  </si>
  <si>
    <t>TRBM</t>
  </si>
  <si>
    <t>Modulanzahl (dyn. Tarif)</t>
  </si>
  <si>
    <t>Anzahl TRBM Batteriemodule</t>
  </si>
  <si>
    <t>Empfohlenes Speichersystem (mit dyn. Stromtarif)</t>
  </si>
  <si>
    <t>Leistungslimit Backup</t>
  </si>
  <si>
    <t>empfohlene minimale Modulanzahl</t>
  </si>
  <si>
    <t>Ausgewählte Speichersystem:</t>
  </si>
  <si>
    <t>Modulanzahl</t>
  </si>
  <si>
    <t>PV Module</t>
  </si>
  <si>
    <t>Speichersystem</t>
  </si>
  <si>
    <t>Stk.</t>
  </si>
  <si>
    <t>kWh/a</t>
  </si>
  <si>
    <t>1) Empfehlungen zur Anlagengröße (optional auszufüllen)</t>
  </si>
  <si>
    <t>TRBC 2.5K-HT</t>
  </si>
  <si>
    <t>BCU und Grundplatte</t>
  </si>
  <si>
    <t>Batteriemodul</t>
  </si>
  <si>
    <t>2) Empfehlungen zur Anlagenauslegung</t>
  </si>
  <si>
    <t>3) Stückliste</t>
  </si>
  <si>
    <t>Datum</t>
  </si>
  <si>
    <t>Bug Fixes</t>
  </si>
  <si>
    <t>Neue Funktionen</t>
  </si>
  <si>
    <t>VERSIONSHISTORIE</t>
  </si>
  <si>
    <t>Performance Ladeleistung Batterie</t>
  </si>
  <si>
    <t>Performance Batteriekapazität pro kWp</t>
  </si>
  <si>
    <t>COP</t>
  </si>
  <si>
    <t>Nennstrom Entladen</t>
  </si>
  <si>
    <t>Nennstrom Laden</t>
  </si>
  <si>
    <t>Leistungslimit Batterie Laden</t>
  </si>
  <si>
    <t>Leistungslimit Batterie Entladen</t>
  </si>
  <si>
    <t>Vertex S+ NEG9RC.27 Clear Black</t>
  </si>
  <si>
    <t>Vertex S+ NEG9R.25 Full Black</t>
  </si>
  <si>
    <t>Vertex S+ NEG9.R28</t>
  </si>
  <si>
    <t>Vertex S+ NEG18.R28</t>
  </si>
  <si>
    <t>Modulserie</t>
  </si>
  <si>
    <t>Modul-Nennleistung</t>
  </si>
  <si>
    <r>
      <t>n</t>
    </r>
    <r>
      <rPr>
        <i/>
        <vertAlign val="subscript"/>
        <sz val="11"/>
        <color theme="1"/>
        <rFont val="Calibri"/>
        <family val="2"/>
        <scheme val="minor"/>
      </rPr>
      <t>min</t>
    </r>
  </si>
  <si>
    <r>
      <t>n</t>
    </r>
    <r>
      <rPr>
        <i/>
        <vertAlign val="subscript"/>
        <sz val="11"/>
        <color theme="1"/>
        <rFont val="Calibri"/>
        <family val="2"/>
        <scheme val="minor"/>
      </rPr>
      <t>max</t>
    </r>
  </si>
  <si>
    <t>blank 1</t>
  </si>
  <si>
    <t>blank 2</t>
  </si>
  <si>
    <t>blank 3</t>
  </si>
  <si>
    <t>blank 4</t>
  </si>
  <si>
    <t>blank 7</t>
  </si>
  <si>
    <t>blank 6</t>
  </si>
  <si>
    <t>blank 5</t>
  </si>
  <si>
    <t>Kunde stellt auf dynamischen Stromtarif um?</t>
  </si>
  <si>
    <t>Vertex S DE09.05</t>
  </si>
  <si>
    <t>Vertex S DE09.08</t>
  </si>
  <si>
    <t>Vertex S DE09R.08 Black Frame</t>
  </si>
  <si>
    <t>Vertex S DE09R.05  Full Black</t>
  </si>
  <si>
    <t>Auslegungshilfe dient lediglich zur Information.
Trina Storage übernimmt keine Haftung für die Ergebnisse.</t>
  </si>
  <si>
    <t>Ausrichtung</t>
  </si>
  <si>
    <t>Süd</t>
  </si>
  <si>
    <t>Süd-Ost</t>
  </si>
  <si>
    <t>Süd-West</t>
  </si>
  <si>
    <t>Ost</t>
  </si>
  <si>
    <t>West</t>
  </si>
  <si>
    <t>Nord-Ost</t>
  </si>
  <si>
    <t>Nord-West</t>
  </si>
  <si>
    <t>Nord</t>
  </si>
  <si>
    <t>Neigung</t>
  </si>
  <si>
    <t>String 1:</t>
  </si>
  <si>
    <t>Empfohlenes DC/AC Nennleistungsverhältnis:</t>
  </si>
  <si>
    <t>Abweichung erlaubt</t>
  </si>
  <si>
    <t>Klasse A</t>
  </si>
  <si>
    <t>Klasse B</t>
  </si>
  <si>
    <t>Klasse C</t>
  </si>
  <si>
    <t>Klasse D</t>
  </si>
  <si>
    <t>Klasse E</t>
  </si>
  <si>
    <t>Klasse F</t>
  </si>
  <si>
    <t>Klasse G</t>
  </si>
  <si>
    <t>Klasse A+</t>
  </si>
  <si>
    <t>• Strombedarfsabschätzung (inkl Wallbox, Wärmepumpe)
• Empfehlung PV-Anlagengröße
• Empfehlung Stromspeichergröße (auch für dyn. Stromtarif)
• Empfehlung Wechselrichter
• Empfehlung DC/AC Nennleistungsverhältnis
• Stringauslegung
• Performance-Check Backup und Speicher
• Generierung einer Stückliste</t>
  </si>
  <si>
    <t>• n.a.</t>
  </si>
  <si>
    <t>bestehend aus:</t>
  </si>
  <si>
    <t>Empfohlene min. WR-Leistung</t>
  </si>
  <si>
    <t>Empfohlenes WR-Modell</t>
  </si>
  <si>
    <t>Gewähltes Speichersystem</t>
  </si>
  <si>
    <t>Verfügbare gesicherte Backupleistung</t>
  </si>
  <si>
    <t>Erwartete Jahresarbeitszahl (COP)</t>
  </si>
  <si>
    <t>Gesamter Stromverbrauch</t>
  </si>
  <si>
    <t>Empfohlene PV-Anlagengröße</t>
  </si>
  <si>
    <t>Empfohlener Überdimensionierungsfaktor</t>
  </si>
  <si>
    <t>Planung erstellt</t>
  </si>
  <si>
    <t>von:</t>
  </si>
  <si>
    <t>am:</t>
  </si>
  <si>
    <t>Spezifische Ladeleistung Batterie PV</t>
  </si>
  <si>
    <t>Spezifische Ladeleistung Batterie Netz</t>
  </si>
  <si>
    <t>Leistungslimit System (Laden PV)</t>
  </si>
  <si>
    <t>Leistungslimit System (Laden Netz)</t>
  </si>
  <si>
    <t>Trina Storage Nexeos Auslegungstool</t>
  </si>
  <si>
    <t>Version 1.1</t>
  </si>
  <si>
    <t>R1.1</t>
  </si>
  <si>
    <t>• COP mit einer Dezimalstelle anzeigen
• Max. empfohlene Speichergröße wird abgerundet.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</si>
</sst>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\ &quot;kWh&quot;"/>
    <numFmt numFmtId="166" formatCode="0.0\ &quot;kWp&quot;"/>
    <numFmt numFmtId="167" formatCode="0.0\ &quot;kW&quot;"/>
    <numFmt numFmtId="168" formatCode="0.000"/>
    <numFmt numFmtId="169" formatCode="0&quot;° Neigung&quot;"/>
    <numFmt numFmtId="170" formatCode="@\ &quot;mit&quot;"/>
    <numFmt numFmtId="171" formatCode="#,##0.000\ &quot;kWp&quot;"/>
    <numFmt numFmtId="172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23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79998168889431442"/>
      </bottom>
      <diagonal/>
    </border>
    <border>
      <left/>
      <right/>
      <top/>
      <bottom style="thick">
        <color rgb="FFFFC000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double">
        <color rgb="FFFFC000"/>
      </bottom>
      <diagonal/>
    </border>
    <border>
      <left/>
      <right/>
      <top/>
      <bottom style="dotted">
        <color rgb="FFFFC000"/>
      </bottom>
      <diagonal/>
    </border>
    <border>
      <left style="thick">
        <color rgb="FFFFC000"/>
      </left>
      <right/>
      <top style="thick">
        <color rgb="FFFFC000"/>
      </top>
      <bottom style="hair">
        <color rgb="FFFFC000"/>
      </bottom>
      <diagonal/>
    </border>
    <border>
      <left/>
      <right/>
      <top style="thick">
        <color rgb="FFFFC000"/>
      </top>
      <bottom style="hair">
        <color rgb="FFFFC000"/>
      </bottom>
      <diagonal/>
    </border>
    <border>
      <left style="thick">
        <color rgb="FFFFC000"/>
      </left>
      <right/>
      <top style="hair">
        <color rgb="FFFFC000"/>
      </top>
      <bottom style="hair">
        <color rgb="FFFFC000"/>
      </bottom>
      <diagonal/>
    </border>
    <border>
      <left/>
      <right/>
      <top style="hair">
        <color rgb="FFFFC000"/>
      </top>
      <bottom style="hair">
        <color rgb="FFFFC000"/>
      </bottom>
      <diagonal/>
    </border>
    <border>
      <left style="thick">
        <color rgb="FFFFC000"/>
      </left>
      <right/>
      <top/>
      <bottom style="hair">
        <color rgb="FFFFC000"/>
      </bottom>
      <diagonal/>
    </border>
    <border>
      <left style="thick">
        <color rgb="FFFFC000"/>
      </left>
      <right/>
      <top style="dotted">
        <color rgb="FFFFC000"/>
      </top>
      <bottom style="hair">
        <color rgb="FFFFC000"/>
      </bottom>
      <diagonal/>
    </border>
    <border>
      <left/>
      <right/>
      <top style="dotted">
        <color rgb="FFFFC000"/>
      </top>
      <bottom style="hair">
        <color rgb="FFFFC000"/>
      </bottom>
      <diagonal/>
    </border>
    <border>
      <left/>
      <right/>
      <top/>
      <bottom style="hair">
        <color rgb="FFFFC000"/>
      </bottom>
      <diagonal/>
    </border>
    <border>
      <left style="thick">
        <color rgb="FFFFC000"/>
      </left>
      <right/>
      <top style="hair">
        <color rgb="FFFFC000"/>
      </top>
      <bottom/>
      <diagonal/>
    </border>
    <border>
      <left/>
      <right/>
      <top style="hair">
        <color rgb="FFFFC000"/>
      </top>
      <bottom/>
      <diagonal/>
    </border>
    <border>
      <left style="thick">
        <color rgb="FFFFC000"/>
      </left>
      <right/>
      <top style="hair">
        <color rgb="FFFFC000"/>
      </top>
      <bottom style="dotted">
        <color rgb="FFFFC000"/>
      </bottom>
      <diagonal/>
    </border>
    <border>
      <left/>
      <right/>
      <top style="hair">
        <color rgb="FFFFC000"/>
      </top>
      <bottom style="dotted">
        <color rgb="FFFFC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9" fontId="0" fillId="3" borderId="0" xfId="0" applyNumberForma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Border="1"/>
    <xf numFmtId="0" fontId="0" fillId="0" borderId="1" xfId="0" applyBorder="1"/>
    <xf numFmtId="2" fontId="0" fillId="0" borderId="1" xfId="0" applyNumberFormat="1" applyBorder="1"/>
    <xf numFmtId="9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9" fontId="0" fillId="0" borderId="3" xfId="0" applyNumberFormat="1" applyBorder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7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15" fillId="2" borderId="0" xfId="0" applyFont="1" applyFill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" fontId="8" fillId="0" borderId="0" xfId="0" applyNumberFormat="1" applyFont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3" borderId="12" xfId="0" applyFill="1" applyBorder="1" applyAlignment="1" applyProtection="1">
      <alignment vertical="center"/>
      <protection locked="0"/>
    </xf>
    <xf numFmtId="0" fontId="0" fillId="2" borderId="12" xfId="0" applyFill="1" applyBorder="1" applyAlignment="1">
      <alignment vertical="center"/>
    </xf>
    <xf numFmtId="3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3" fillId="3" borderId="14" xfId="0" applyFont="1" applyFill="1" applyBorder="1" applyAlignment="1" applyProtection="1">
      <alignment horizontal="right" vertical="center"/>
      <protection locked="0"/>
    </xf>
    <xf numFmtId="0" fontId="1" fillId="3" borderId="18" xfId="0" applyFont="1" applyFill="1" applyBorder="1" applyAlignment="1" applyProtection="1">
      <alignment horizontal="right" vertical="center"/>
      <protection locked="0"/>
    </xf>
    <xf numFmtId="0" fontId="5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horizontal="left" vertical="center"/>
    </xf>
    <xf numFmtId="9" fontId="8" fillId="0" borderId="18" xfId="0" applyNumberFormat="1" applyFont="1" applyBorder="1" applyAlignment="1" applyProtection="1">
      <alignment vertical="center"/>
      <protection locked="0"/>
    </xf>
    <xf numFmtId="0" fontId="0" fillId="2" borderId="18" xfId="0" applyFill="1" applyBorder="1" applyAlignment="1">
      <alignment vertical="center"/>
    </xf>
    <xf numFmtId="3" fontId="17" fillId="2" borderId="18" xfId="0" applyNumberFormat="1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8" fillId="0" borderId="18" xfId="0" applyFont="1" applyBorder="1" applyAlignment="1" applyProtection="1">
      <alignment horizontal="right" vertical="center"/>
      <protection locked="0"/>
    </xf>
    <xf numFmtId="0" fontId="16" fillId="2" borderId="18" xfId="0" applyFont="1" applyFill="1" applyBorder="1" applyAlignment="1">
      <alignment vertical="center"/>
    </xf>
    <xf numFmtId="3" fontId="8" fillId="0" borderId="18" xfId="0" applyNumberFormat="1" applyFont="1" applyBorder="1" applyAlignment="1" applyProtection="1">
      <alignment vertical="center"/>
      <protection locked="0"/>
    </xf>
    <xf numFmtId="3" fontId="17" fillId="0" borderId="18" xfId="0" applyNumberFormat="1" applyFont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3" fontId="0" fillId="3" borderId="18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>
      <alignment horizontal="right" vertical="center"/>
    </xf>
    <xf numFmtId="3" fontId="8" fillId="0" borderId="14" xfId="0" applyNumberFormat="1" applyFont="1" applyBorder="1" applyAlignment="1" applyProtection="1">
      <alignment vertical="center"/>
      <protection locked="0"/>
    </xf>
    <xf numFmtId="0" fontId="0" fillId="2" borderId="11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3" borderId="18" xfId="0" applyFill="1" applyBorder="1" applyAlignment="1" applyProtection="1">
      <alignment horizontal="right" vertical="center"/>
      <protection locked="0"/>
    </xf>
    <xf numFmtId="0" fontId="13" fillId="3" borderId="18" xfId="0" applyFont="1" applyFill="1" applyBorder="1" applyAlignment="1" applyProtection="1">
      <alignment horizontal="right"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168" fontId="0" fillId="2" borderId="18" xfId="0" applyNumberFormat="1" applyFill="1" applyBorder="1" applyAlignment="1">
      <alignment vertical="center"/>
    </xf>
    <xf numFmtId="0" fontId="0" fillId="3" borderId="18" xfId="0" applyFill="1" applyBorder="1" applyAlignment="1" applyProtection="1">
      <alignment vertical="center"/>
      <protection locked="0"/>
    </xf>
    <xf numFmtId="9" fontId="0" fillId="2" borderId="18" xfId="0" applyNumberFormat="1" applyFill="1" applyBorder="1" applyAlignment="1">
      <alignment vertical="center"/>
    </xf>
    <xf numFmtId="164" fontId="0" fillId="2" borderId="18" xfId="0" applyNumberFormat="1" applyFill="1" applyBorder="1" applyAlignment="1">
      <alignment vertical="center"/>
    </xf>
    <xf numFmtId="0" fontId="8" fillId="2" borderId="18" xfId="0" applyFont="1" applyFill="1" applyBorder="1" applyAlignment="1" applyProtection="1">
      <alignment horizontal="right" vertical="center"/>
      <protection locked="0"/>
    </xf>
    <xf numFmtId="170" fontId="0" fillId="3" borderId="18" xfId="0" applyNumberFormat="1" applyFill="1" applyBorder="1" applyAlignment="1" applyProtection="1">
      <alignment horizontal="right" vertical="center"/>
      <protection locked="0"/>
    </xf>
    <xf numFmtId="169" fontId="0" fillId="3" borderId="18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11" fillId="2" borderId="1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14" fontId="19" fillId="2" borderId="0" xfId="0" applyNumberFormat="1" applyFont="1" applyFill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2" fontId="0" fillId="2" borderId="18" xfId="0" applyNumberFormat="1" applyFill="1" applyBorder="1" applyAlignment="1">
      <alignment vertical="center"/>
    </xf>
    <xf numFmtId="172" fontId="8" fillId="0" borderId="18" xfId="0" applyNumberFormat="1" applyFont="1" applyBorder="1" applyAlignment="1" applyProtection="1">
      <alignment vertical="center"/>
      <protection locked="0"/>
    </xf>
    <xf numFmtId="0" fontId="5" fillId="2" borderId="15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71" fontId="0" fillId="2" borderId="12" xfId="0" applyNumberForma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8" xfId="0" applyFill="1" applyBorder="1" applyAlignment="1" applyProtection="1">
      <alignment horizontal="right" vertical="center"/>
      <protection locked="0"/>
    </xf>
    <xf numFmtId="167" fontId="0" fillId="2" borderId="14" xfId="0" applyNumberFormat="1" applyFill="1" applyBorder="1" applyAlignment="1">
      <alignment horizontal="left" vertical="center"/>
    </xf>
    <xf numFmtId="14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</cellXfs>
  <cellStyles count="1">
    <cellStyle name="Standard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border outline="0">
        <top style="thin">
          <color theme="5" tint="0.39997558519241921"/>
        </top>
      </border>
    </dxf>
    <dxf>
      <border outline="0">
        <left style="thin">
          <color theme="5" tint="0.39997558519241921"/>
        </left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69567</xdr:rowOff>
    </xdr:from>
    <xdr:to>
      <xdr:col>11</xdr:col>
      <xdr:colOff>0</xdr:colOff>
      <xdr:row>3</xdr:row>
      <xdr:rowOff>175217</xdr:rowOff>
    </xdr:to>
    <xdr:pic>
      <xdr:nvPicPr>
        <xdr:cNvPr id="2" name="图片 4" descr="徽标&#10;&#10;描述已自动生成">
          <a:extLst>
            <a:ext uri="{FF2B5EF4-FFF2-40B4-BE49-F238E27FC236}">
              <a16:creationId xmlns:a16="http://schemas.microsoft.com/office/drawing/2014/main" id="{3D4F54FB-7D26-DEE2-52F9-3FD523F05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0" y="193392"/>
          <a:ext cx="2943225" cy="467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114F0F-A6D3-4760-8557-173ACCEC1993}" name="Table4" displayName="Table4" ref="G9:N15" totalsRowShown="0">
  <autoFilter ref="G9:N15" xr:uid="{78114F0F-A6D3-4760-8557-173ACCEC1993}"/>
  <tableColumns count="8">
    <tableColumn id="1" xr3:uid="{D7DFDF30-56F1-498E-986E-6003041A576E}" name="Trina Storage Battery Modules"/>
    <tableColumn id="2" xr3:uid="{247E7039-4481-4817-849F-AE43D451F88B}" name="nominal"/>
    <tableColumn id="3" xr3:uid="{EDD40C6C-4FA4-465E-ACF5-67FD3E88F230}" name="max. DOD"/>
    <tableColumn id="4" xr3:uid="{0C0331FE-084A-44DB-9469-E0EE01C0A933}" name="nutzbar"/>
    <tableColumn id="5" xr3:uid="{529E83CC-2FC7-4BA5-A9E4-7E8F924EDB67}" name="min 1-phase"/>
    <tableColumn id="6" xr3:uid="{67CD70A3-AA89-4E0C-95F4-07851B990DA0}" name="min-3-phase"/>
    <tableColumn id="7" xr3:uid="{36FB7307-BF2E-4C97-8809-3EB27444253A}" name="Voltage"/>
    <tableColumn id="8" xr3:uid="{5A049CA7-89AF-4FA0-984F-3393BDD07A71}" name="Current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19391A-B334-4A69-BE6F-05ADF17ABEDC}" name="Table5" displayName="Table5" ref="G18:L24" totalsRowShown="0" headerRowDxfId="46" dataDxfId="44" headerRowBorderDxfId="45" tableBorderDxfId="43" totalsRowBorderDxfId="42">
  <autoFilter ref="G18:L24" xr:uid="{2319391A-B334-4A69-BE6F-05ADF17ABEDC}"/>
  <tableColumns count="6">
    <tableColumn id="6" xr3:uid="{6048DD1B-9013-4B2B-AD89-38A9605DAD99}" name="Anzahl TRBM Batteriemodule" dataDxfId="41"/>
    <tableColumn id="1" xr3:uid="{66E6D611-8E60-4B01-8BF2-5CA70401D60D}" name="Trina Storage Battery Systems" dataDxfId="40"/>
    <tableColumn id="7" xr3:uid="{3A67FFA9-45D6-4647-9031-BE451F3BC8BB}" name="TRBM" dataDxfId="39"/>
    <tableColumn id="3" xr3:uid="{3272381F-6490-4EDE-81DC-FE0926B03E32}" name="nominal" dataDxfId="38">
      <calculatedColumnFormula>G19*2.56</calculatedColumnFormula>
    </tableColumn>
    <tableColumn id="4" xr3:uid="{5B663957-7E89-496C-821A-5489DA8C84F0}" name="max. DOD" dataDxfId="37"/>
    <tableColumn id="5" xr3:uid="{4C249144-A4EF-4EDD-9267-48AB6DBC66FF}" name="nutzbar" dataDxfId="36">
      <calculatedColumnFormula>J19*K19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4F8FF5-BCC8-4A19-9104-1D20FBF65A83}" name="Table3" displayName="Table3" ref="B5:F13" totalsRowShown="0" headerRowDxfId="35" dataDxfId="34">
  <autoFilter ref="B5:F13" xr:uid="{824F8FF5-BCC8-4A19-9104-1D20FBF65A83}"/>
  <tableColumns count="5">
    <tableColumn id="1" xr3:uid="{F572BAA6-D89E-4298-BC94-85823EBFB3AF}" name="Release" dataDxfId="33"/>
    <tableColumn id="2" xr3:uid="{87F088AE-BBF1-437C-A82F-723BAD9E215C}" name="Datum" dataDxfId="32"/>
    <tableColumn id="3" xr3:uid="{6541E238-625F-4B9C-A5D6-D7C733C6442A}" name="Bug Fixes" dataDxfId="31"/>
    <tableColumn id="4" xr3:uid="{6852BD5B-0444-4D90-B625-5975038E440C}" name="Neue Funktionen" dataDxfId="30"/>
    <tableColumn id="5" xr3:uid="{EB3F0970-0FDC-4554-8D88-C2092501F4F5}" name="erstellt/geändert von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E7A7-1885-4F30-B65D-FDFF9A419EB0}">
  <sheetPr codeName="Sheet1">
    <pageSetUpPr fitToPage="1"/>
  </sheetPr>
  <dimension ref="B1:Q38"/>
  <sheetViews>
    <sheetView tabSelected="1" zoomScaleNormal="100" workbookViewId="0">
      <selection activeCell="H9" sqref="H9:J9"/>
    </sheetView>
  </sheetViews>
  <sheetFormatPr baseColWidth="10" defaultColWidth="9.140625" defaultRowHeight="15" x14ac:dyDescent="0.25"/>
  <cols>
    <col min="1" max="1" width="2.85546875" style="36" customWidth="1"/>
    <col min="2" max="2" width="22.7109375" style="36" customWidth="1"/>
    <col min="3" max="3" width="23.7109375" style="36" customWidth="1"/>
    <col min="4" max="4" width="12.7109375" style="36" customWidth="1"/>
    <col min="5" max="5" width="14.42578125" style="36" bestFit="1" customWidth="1"/>
    <col min="6" max="6" width="2.7109375" style="36" customWidth="1"/>
    <col min="7" max="9" width="14.7109375" style="36" customWidth="1"/>
    <col min="10" max="10" width="12.7109375" style="36" customWidth="1"/>
    <col min="11" max="11" width="10.7109375" style="36" customWidth="1"/>
    <col min="12" max="12" width="5.7109375" style="36" customWidth="1"/>
    <col min="13" max="13" width="25.28515625" style="36" bestFit="1" customWidth="1"/>
    <col min="14" max="14" width="37.42578125" style="36" bestFit="1" customWidth="1"/>
    <col min="15" max="16384" width="9.140625" style="36"/>
  </cols>
  <sheetData>
    <row r="1" spans="2:17" ht="9.9499999999999993" customHeight="1" x14ac:dyDescent="0.25"/>
    <row r="2" spans="2:17" ht="18.75" x14ac:dyDescent="0.25">
      <c r="B2" s="35" t="s">
        <v>204</v>
      </c>
      <c r="C2" s="35"/>
    </row>
    <row r="3" spans="2:17" ht="9.9499999999999993" customHeight="1" x14ac:dyDescent="0.25"/>
    <row r="4" spans="2:17" x14ac:dyDescent="0.25">
      <c r="B4" s="122" t="s">
        <v>164</v>
      </c>
      <c r="C4" s="122"/>
      <c r="D4" s="122"/>
      <c r="E4" s="122"/>
    </row>
    <row r="5" spans="2:17" x14ac:dyDescent="0.25">
      <c r="B5" s="122"/>
      <c r="C5" s="122"/>
      <c r="D5" s="122"/>
      <c r="E5" s="122"/>
    </row>
    <row r="6" spans="2:17" ht="9.9499999999999993" customHeight="1" x14ac:dyDescent="0.25">
      <c r="B6" s="43"/>
      <c r="C6" s="43"/>
      <c r="D6" s="43"/>
      <c r="E6" s="43"/>
    </row>
    <row r="7" spans="2:17" s="37" customFormat="1" ht="16.5" thickBot="1" x14ac:dyDescent="0.3">
      <c r="B7" s="123" t="s">
        <v>127</v>
      </c>
      <c r="C7" s="123"/>
      <c r="D7" s="123"/>
      <c r="E7" s="123"/>
      <c r="G7" s="123" t="s">
        <v>131</v>
      </c>
      <c r="H7" s="123"/>
      <c r="I7" s="123"/>
      <c r="J7" s="123"/>
      <c r="K7" s="123"/>
    </row>
    <row r="8" spans="2:17" ht="15.75" thickTop="1" x14ac:dyDescent="0.25">
      <c r="B8" s="119" t="s">
        <v>56</v>
      </c>
      <c r="C8" s="120"/>
      <c r="D8" s="57">
        <v>4</v>
      </c>
      <c r="E8" s="58"/>
      <c r="G8" s="113" t="s">
        <v>40</v>
      </c>
      <c r="H8" s="114"/>
      <c r="I8" s="114"/>
      <c r="J8" s="76" t="s">
        <v>41</v>
      </c>
      <c r="K8" s="66"/>
    </row>
    <row r="9" spans="2:17" x14ac:dyDescent="0.25">
      <c r="B9" s="103" t="s">
        <v>57</v>
      </c>
      <c r="C9" s="104"/>
      <c r="D9" s="59">
        <f>VLOOKUP(D8,Data!E2:F6,2,FALSE)</f>
        <v>4000</v>
      </c>
      <c r="E9" s="60" t="s">
        <v>8</v>
      </c>
      <c r="G9" s="69" t="s">
        <v>148</v>
      </c>
      <c r="H9" s="130" t="s">
        <v>145</v>
      </c>
      <c r="I9" s="130"/>
      <c r="J9" s="130"/>
      <c r="K9" s="66"/>
    </row>
    <row r="10" spans="2:17" x14ac:dyDescent="0.25">
      <c r="B10" s="109" t="s">
        <v>58</v>
      </c>
      <c r="C10" s="110"/>
      <c r="D10" s="61" t="s">
        <v>47</v>
      </c>
      <c r="E10" s="60"/>
      <c r="G10" s="126" t="s">
        <v>149</v>
      </c>
      <c r="H10" s="127"/>
      <c r="I10" s="127"/>
      <c r="J10" s="81">
        <v>440</v>
      </c>
      <c r="K10" s="66" t="s">
        <v>20</v>
      </c>
    </row>
    <row r="11" spans="2:17" x14ac:dyDescent="0.25">
      <c r="B11" s="128" t="str">
        <f>IF(D10="nein","Bitte eigene Verbrauchsdaten eingeben","")</f>
        <v/>
      </c>
      <c r="C11" s="129"/>
      <c r="D11" s="53">
        <v>3000</v>
      </c>
      <c r="E11" s="60" t="s">
        <v>8</v>
      </c>
      <c r="G11" s="113" t="s">
        <v>43</v>
      </c>
      <c r="H11" s="114"/>
      <c r="I11" s="114"/>
      <c r="J11" s="66">
        <f>ROUND(D25*1000/J10,0)</f>
        <v>27</v>
      </c>
      <c r="K11" s="66" t="s">
        <v>44</v>
      </c>
    </row>
    <row r="12" spans="2:17" x14ac:dyDescent="0.25">
      <c r="B12" s="107" t="s">
        <v>59</v>
      </c>
      <c r="C12" s="108"/>
      <c r="D12" s="62" t="s">
        <v>46</v>
      </c>
      <c r="E12" s="63"/>
      <c r="G12" s="124" t="s">
        <v>45</v>
      </c>
      <c r="H12" s="125"/>
      <c r="I12" s="125"/>
      <c r="J12" s="82" t="s">
        <v>47</v>
      </c>
      <c r="K12" s="68"/>
    </row>
    <row r="13" spans="2:17" x14ac:dyDescent="0.25">
      <c r="B13" s="103" t="str">
        <f>IF(D12="ja","Jährliche Kilometerleistung","")</f>
        <v/>
      </c>
      <c r="C13" s="104"/>
      <c r="D13" s="77">
        <v>10000</v>
      </c>
      <c r="E13" s="60" t="s">
        <v>60</v>
      </c>
      <c r="G13" s="113" t="str">
        <f>IF(J12="nein","Bitte eigene Modulanzahl eingeben:","")</f>
        <v/>
      </c>
      <c r="H13" s="114"/>
      <c r="I13" s="114"/>
      <c r="J13" s="83">
        <v>14</v>
      </c>
      <c r="K13" s="66"/>
    </row>
    <row r="14" spans="2:17" ht="15.75" x14ac:dyDescent="0.25">
      <c r="B14" s="103" t="str">
        <f>IF(D12="ja","Anteil Fahrzeugladung zu Hause","")</f>
        <v/>
      </c>
      <c r="C14" s="104"/>
      <c r="D14" s="65">
        <v>0.5</v>
      </c>
      <c r="E14" s="66"/>
      <c r="G14" s="113" t="s">
        <v>48</v>
      </c>
      <c r="H14" s="114"/>
      <c r="I14" s="114"/>
      <c r="J14" s="84">
        <f>IF(J12="nein",J13,J11)*J10/1000</f>
        <v>11.88</v>
      </c>
      <c r="K14" s="66" t="s">
        <v>19</v>
      </c>
      <c r="P14" s="38"/>
      <c r="Q14" s="38"/>
    </row>
    <row r="15" spans="2:17" x14ac:dyDescent="0.25">
      <c r="B15" s="113" t="str">
        <f>IF(D12="ja","Geschätzte Ladeenergie zu Hause","")</f>
        <v/>
      </c>
      <c r="C15" s="114"/>
      <c r="D15" s="67">
        <f>Verbrauch!C6</f>
        <v>1000</v>
      </c>
      <c r="E15" s="66" t="s">
        <v>8</v>
      </c>
      <c r="G15" s="113" t="s">
        <v>49</v>
      </c>
      <c r="H15" s="114"/>
      <c r="I15" s="114"/>
      <c r="J15" s="85">
        <v>2</v>
      </c>
      <c r="K15" s="66"/>
    </row>
    <row r="16" spans="2:17" x14ac:dyDescent="0.25">
      <c r="B16" s="109" t="s">
        <v>61</v>
      </c>
      <c r="C16" s="110"/>
      <c r="D16" s="62" t="s">
        <v>46</v>
      </c>
      <c r="E16" s="63"/>
      <c r="G16" s="113" t="s">
        <v>176</v>
      </c>
      <c r="H16" s="114"/>
      <c r="I16" s="114"/>
      <c r="J16" s="86">
        <f>ROUND((1.2+Data!T20)/0.05,0)*0.05</f>
        <v>1.25</v>
      </c>
      <c r="K16" s="66"/>
    </row>
    <row r="17" spans="2:17" x14ac:dyDescent="0.25">
      <c r="B17" s="103" t="str">
        <f>IF(D16="ja","Energieeffizienzklasse Gebäude","")</f>
        <v/>
      </c>
      <c r="C17" s="104"/>
      <c r="D17" s="70" t="s">
        <v>180</v>
      </c>
      <c r="E17" s="71" t="str">
        <f>"&lt; " &amp; VLOOKUP(D17,Data!H2:J9,2,FALSE) &amp; " kWh/m²/a"</f>
        <v>&lt; 100 kWh/m²/a</v>
      </c>
      <c r="G17" s="113" t="s">
        <v>189</v>
      </c>
      <c r="H17" s="114"/>
      <c r="I17" s="114"/>
      <c r="J17" s="87">
        <f>J14/J16</f>
        <v>9.5040000000000013</v>
      </c>
      <c r="K17" s="66" t="s">
        <v>4</v>
      </c>
    </row>
    <row r="18" spans="2:17" x14ac:dyDescent="0.25">
      <c r="B18" s="103" t="str">
        <f>IF(D16="ja","Beheizte Fläche","")</f>
        <v/>
      </c>
      <c r="C18" s="104"/>
      <c r="D18" s="72">
        <v>150</v>
      </c>
      <c r="E18" s="66" t="s">
        <v>13</v>
      </c>
      <c r="G18" s="113" t="s">
        <v>190</v>
      </c>
      <c r="H18" s="114"/>
      <c r="I18" s="114"/>
      <c r="J18" s="64" t="str">
        <f>IF(AND(J17&lt;=6,J15&lt;=2),"TRH 6K-T2",IF(AND(J17&lt;=6,J15=3),"TRH 8K-T3",IF(J17&lt;=8,"TRH 8K-T3",IF(J17&lt;=10,"TRH 10K-T3",IF(J17&lt;=12,"TRH 12K-T3","Parallelschaltung erforderlich. Unser Serviceteam hilft Ihnen gerne bei der Planung.")))))</f>
        <v>TRH 10K-T3</v>
      </c>
      <c r="K18" s="66"/>
    </row>
    <row r="19" spans="2:17" x14ac:dyDescent="0.25">
      <c r="B19" s="103" t="s">
        <v>193</v>
      </c>
      <c r="C19" s="104"/>
      <c r="D19" s="101">
        <v>4</v>
      </c>
      <c r="E19" s="66"/>
      <c r="G19" s="124" t="s">
        <v>53</v>
      </c>
      <c r="H19" s="125"/>
      <c r="I19" s="125"/>
      <c r="J19" s="82" t="s">
        <v>47</v>
      </c>
      <c r="K19" s="66"/>
    </row>
    <row r="20" spans="2:17" x14ac:dyDescent="0.25">
      <c r="B20" s="103" t="str">
        <f>IF(D16="ja","Geschätzter Verbrauch Wärmepumpe","")</f>
        <v/>
      </c>
      <c r="C20" s="104"/>
      <c r="D20" s="73">
        <f>Verbrauch!C15</f>
        <v>3600</v>
      </c>
      <c r="E20" s="66" t="s">
        <v>8</v>
      </c>
      <c r="G20" s="113" t="str">
        <f>IF(J19="nein","Bitte WR-Modell auswählen","")</f>
        <v/>
      </c>
      <c r="H20" s="114"/>
      <c r="I20" s="114"/>
      <c r="J20" s="88" t="s">
        <v>35</v>
      </c>
      <c r="K20" s="66"/>
    </row>
    <row r="21" spans="2:17" ht="16.5" thickBot="1" x14ac:dyDescent="0.3">
      <c r="B21" s="115" t="s">
        <v>194</v>
      </c>
      <c r="C21" s="116"/>
      <c r="D21" s="50">
        <f>IF(D10="ja",D9,D11)+IF(D12="ja",D15,0)+IF(D16="ja",D20,0)</f>
        <v>4000</v>
      </c>
      <c r="E21" s="74" t="s">
        <v>126</v>
      </c>
      <c r="G21" s="113" t="s">
        <v>52</v>
      </c>
      <c r="H21" s="114"/>
      <c r="I21" s="114"/>
      <c r="J21" s="86">
        <f>J14*1000/VLOOKUP(IF(J19="ja",J18,J20),Data!N1:O4,2,FALSE)</f>
        <v>1.1879999999999999</v>
      </c>
      <c r="K21" s="66"/>
      <c r="P21" s="38"/>
      <c r="Q21" s="38"/>
    </row>
    <row r="22" spans="2:17" ht="15.75" thickTop="1" x14ac:dyDescent="0.25">
      <c r="B22" s="111"/>
      <c r="C22" s="112"/>
      <c r="G22" s="69" t="s">
        <v>175</v>
      </c>
      <c r="H22" s="89" t="s">
        <v>166</v>
      </c>
      <c r="I22" s="90">
        <v>30</v>
      </c>
      <c r="J22" s="91">
        <v>14</v>
      </c>
      <c r="K22" s="66" t="str">
        <f>IF(J22&lt;Data!$L$2,"zu niedrig " &amp; "(zwischen " &amp; Data!L2 &amp; " und " &amp;Data!L4 &amp; " Module)",IF(J22&gt;Data!$L$4,"zu hoch "&amp; "(zwischen " &amp; Data!L2 &amp; " und " &amp;Data!L4 &amp; " Module)",""))</f>
        <v/>
      </c>
    </row>
    <row r="23" spans="2:17" x14ac:dyDescent="0.25">
      <c r="B23" s="113" t="s">
        <v>63</v>
      </c>
      <c r="C23" s="114"/>
      <c r="D23" s="75">
        <v>1000</v>
      </c>
      <c r="E23" s="66" t="s">
        <v>1</v>
      </c>
      <c r="G23" s="69" t="str">
        <f>"String 2"&amp;IF(J15&gt;1,":"," (n.v.)")</f>
        <v>String 2:</v>
      </c>
      <c r="H23" s="89" t="s">
        <v>168</v>
      </c>
      <c r="I23" s="90">
        <v>50</v>
      </c>
      <c r="J23" s="91">
        <v>13</v>
      </c>
      <c r="K23" s="66" t="str">
        <f>IF(J15&lt;2,"auf 0 setzen",IF(J23&lt;Data!$L$2,"zu niedrig "&amp;"(zwischen "&amp;Data!L2&amp;" und "&amp;Data!L4&amp;" Module)",IF(J23&gt;Data!$L$4,"zu hoch "&amp;"(zwischen "&amp;Data!L2&amp;" und "&amp;Data!L4&amp;" Module)","")))</f>
        <v/>
      </c>
    </row>
    <row r="24" spans="2:17" ht="15.75" thickBot="1" x14ac:dyDescent="0.3">
      <c r="B24" s="103" t="s">
        <v>196</v>
      </c>
      <c r="C24" s="104"/>
      <c r="D24" s="66">
        <f>IF(AND(D12="ja",D16="ja"),1.25,IF(D12="ja",2.5,IF(D16="ja",1.75,3)))</f>
        <v>3</v>
      </c>
      <c r="E24" s="66"/>
      <c r="G24" s="69" t="str">
        <f>"String 3"&amp;IF(J15&gt;2,":"," (n.v.)")</f>
        <v>String 3 (n.v.)</v>
      </c>
      <c r="H24" s="89" t="s">
        <v>169</v>
      </c>
      <c r="I24" s="90">
        <v>30</v>
      </c>
      <c r="J24" s="54">
        <v>4</v>
      </c>
      <c r="K24" s="66" t="str">
        <f>IF(J15&lt;3,"auf 0 setzen",IF(J24&lt;Data!$L$2,"zu niedrig "&amp;"(zwischen "&amp;Data!L2&amp;" und "&amp;Data!L4&amp;" Module)",IF(J24&gt;Data!$L$4,"zu hoch "&amp;"(zwischen "&amp;Data!L2&amp;" und "&amp;Data!L4&amp;" Module)","")))</f>
        <v>auf 0 setzen</v>
      </c>
    </row>
    <row r="25" spans="2:17" ht="16.5" thickTop="1" thickBot="1" x14ac:dyDescent="0.3">
      <c r="B25" s="115" t="s">
        <v>195</v>
      </c>
      <c r="C25" s="116"/>
      <c r="D25" s="51">
        <f>D21/D23*D24</f>
        <v>12</v>
      </c>
      <c r="E25" s="74" t="s">
        <v>19</v>
      </c>
      <c r="G25" s="135" t="str">
        <f>IF(J14*1000/J10&lt;&gt;IF(J15&lt;2,J22,IF(J15&lt;3,SUM(J22:J23),SUM(J22:J24))),"Summe der Module überprüfen. Ziel: " &amp; J14*1000/J10 &amp; ", Ist:","")</f>
        <v/>
      </c>
      <c r="H25" s="136"/>
      <c r="I25" s="136"/>
      <c r="J25" s="99">
        <f>IF(J15&lt;2,J22,IF(J15&lt;3,SUM(J22:J23),SUM(J22:J24)))</f>
        <v>27</v>
      </c>
      <c r="K25" s="92"/>
    </row>
    <row r="26" spans="2:17" ht="15.75" thickTop="1" x14ac:dyDescent="0.25">
      <c r="B26" s="48"/>
      <c r="G26" s="117"/>
      <c r="H26" s="118"/>
      <c r="I26" s="118"/>
      <c r="J26" s="52"/>
      <c r="K26" s="52"/>
    </row>
    <row r="27" spans="2:17" x14ac:dyDescent="0.25">
      <c r="B27" s="105" t="s">
        <v>159</v>
      </c>
      <c r="C27" s="106"/>
      <c r="D27" s="62" t="s">
        <v>46</v>
      </c>
      <c r="E27" s="74"/>
      <c r="G27" s="113" t="s">
        <v>191</v>
      </c>
      <c r="H27" s="114"/>
      <c r="I27" s="114"/>
      <c r="J27" s="81" t="s">
        <v>110</v>
      </c>
      <c r="K27" s="66"/>
      <c r="M27" s="39"/>
    </row>
    <row r="28" spans="2:17" x14ac:dyDescent="0.25">
      <c r="B28" s="103" t="s">
        <v>105</v>
      </c>
      <c r="C28" s="104"/>
      <c r="D28" s="76" t="str">
        <f>VLOOKUP(Speicher!C19,Table5[],2,FALSE)</f>
        <v>TRB 7.5K-HT</v>
      </c>
      <c r="E28" s="66"/>
      <c r="G28" s="113" t="s">
        <v>192</v>
      </c>
      <c r="H28" s="114"/>
      <c r="I28" s="114"/>
      <c r="J28" s="87">
        <f>Speicher!C34</f>
        <v>6.1440000000000001</v>
      </c>
      <c r="K28" s="66" t="s">
        <v>4</v>
      </c>
      <c r="L28" s="39"/>
      <c r="M28" s="40"/>
    </row>
    <row r="29" spans="2:17" x14ac:dyDescent="0.25">
      <c r="B29" s="103" t="s">
        <v>106</v>
      </c>
      <c r="C29" s="104"/>
      <c r="D29" s="76" t="str">
        <f>VLOOKUP(IF(Speicher!C17&gt;MAX(Table5[Anzahl TRBM Batteriemodule]),MAX(Table5[Anzahl TRBM Batteriemodule]),Speicher!C17),Table5[],2,FALSE)</f>
        <v>TRB 17.5K-HT</v>
      </c>
      <c r="E29" s="66"/>
      <c r="G29" s="113" t="s">
        <v>137</v>
      </c>
      <c r="H29" s="114"/>
      <c r="I29" s="114"/>
      <c r="J29" s="100">
        <f>IF(D27="ja",Speicher!C36,Speicher!C35)</f>
        <v>0.55555555555555547</v>
      </c>
      <c r="K29" s="66" t="s">
        <v>22</v>
      </c>
      <c r="M29" s="41"/>
      <c r="N29" s="39"/>
    </row>
    <row r="30" spans="2:17" x14ac:dyDescent="0.25">
      <c r="B30" s="103" t="s">
        <v>118</v>
      </c>
      <c r="C30" s="104"/>
      <c r="D30" s="76" t="str">
        <f>VLOOKUP(IF(Speicher!C18&gt;MAX(Table5[Anzahl TRBM Batteriemodule]),MAX(Table5[Anzahl TRBM Batteriemodule]),Speicher!C18),Table5[],2,FALSE)</f>
        <v>TRB 12.5K-HT</v>
      </c>
      <c r="E30" s="66"/>
      <c r="G30" s="113" t="s">
        <v>138</v>
      </c>
      <c r="H30" s="114"/>
      <c r="I30" s="114"/>
      <c r="J30" s="100">
        <f>Speicher!C37</f>
        <v>0.77575757575757576</v>
      </c>
      <c r="K30" s="66" t="s">
        <v>1</v>
      </c>
      <c r="M30" s="42"/>
      <c r="N30" s="40"/>
    </row>
    <row r="31" spans="2:17" x14ac:dyDescent="0.25">
      <c r="N31" s="41"/>
    </row>
    <row r="32" spans="2:17" ht="16.5" thickBot="1" x14ac:dyDescent="0.3">
      <c r="B32" s="47" t="s">
        <v>132</v>
      </c>
      <c r="C32" s="47"/>
      <c r="D32" s="47"/>
      <c r="E32" s="49" t="s">
        <v>125</v>
      </c>
      <c r="F32" s="94"/>
      <c r="G32" s="94"/>
      <c r="I32" s="134" t="s">
        <v>197</v>
      </c>
      <c r="J32" s="134"/>
      <c r="K32" s="134"/>
      <c r="N32" s="42"/>
    </row>
    <row r="33" spans="2:11" ht="15.75" thickTop="1" x14ac:dyDescent="0.25">
      <c r="B33" s="78" t="s">
        <v>123</v>
      </c>
      <c r="C33" s="66" t="str">
        <f>H9 &amp; " " &amp;J10 &amp; " Wp"</f>
        <v>Vertex S+ NEG9R.25 Full Black 440 Wp</v>
      </c>
      <c r="D33" s="66"/>
      <c r="E33" s="79">
        <f>J14/J10*1000</f>
        <v>27.000000000000004</v>
      </c>
      <c r="F33" s="121">
        <f>E33*J10/1000</f>
        <v>11.880000000000003</v>
      </c>
      <c r="G33" s="121"/>
      <c r="I33" s="95" t="s">
        <v>198</v>
      </c>
      <c r="J33" s="133"/>
      <c r="K33" s="133"/>
    </row>
    <row r="34" spans="2:11" x14ac:dyDescent="0.25">
      <c r="B34" s="69" t="s">
        <v>42</v>
      </c>
      <c r="C34" s="66" t="str">
        <f>J18</f>
        <v>TRH 10K-T3</v>
      </c>
      <c r="D34" s="66"/>
      <c r="E34" s="79">
        <v>1</v>
      </c>
      <c r="F34" s="131">
        <f>VLOOKUP(C34,Data!N1:O4,2,FALSE)/1000</f>
        <v>10</v>
      </c>
      <c r="G34" s="131"/>
      <c r="I34" s="96" t="s">
        <v>199</v>
      </c>
      <c r="J34" s="132">
        <f ca="1">TODAY()</f>
        <v>45681</v>
      </c>
      <c r="K34" s="132"/>
    </row>
    <row r="35" spans="2:11" x14ac:dyDescent="0.25">
      <c r="B35" s="69" t="s">
        <v>124</v>
      </c>
      <c r="C35" s="66" t="str">
        <f>J27</f>
        <v>TRB 10K-HT</v>
      </c>
      <c r="D35" s="66"/>
      <c r="E35" s="79">
        <v>1</v>
      </c>
      <c r="F35" s="104" t="str">
        <f>ROUND(VLOOKUP(C35,Table5[[Trina Storage Battery Systems]:[nutzbar]],3,FALSE),1) &amp; " kWh (" &amp; ROUND(VLOOKUP(C35,Table5[[Trina Storage Battery Systems]:[nutzbar]],5,FALSE),1) &amp; " kWh)"</f>
        <v>10,2 kWh (9,2 kWh)</v>
      </c>
      <c r="G35" s="104"/>
    </row>
    <row r="36" spans="2:11" x14ac:dyDescent="0.25">
      <c r="B36" s="93" t="s">
        <v>188</v>
      </c>
      <c r="C36" s="55"/>
      <c r="E36" s="56"/>
    </row>
    <row r="37" spans="2:11" x14ac:dyDescent="0.25">
      <c r="B37" s="102" t="s">
        <v>129</v>
      </c>
      <c r="C37" s="63" t="s">
        <v>128</v>
      </c>
      <c r="D37" s="66"/>
      <c r="E37" s="80">
        <v>1</v>
      </c>
      <c r="F37" s="66"/>
      <c r="G37" s="66"/>
    </row>
    <row r="38" spans="2:11" x14ac:dyDescent="0.25">
      <c r="B38" s="102" t="s">
        <v>130</v>
      </c>
      <c r="C38" s="63" t="s">
        <v>76</v>
      </c>
      <c r="D38" s="66"/>
      <c r="E38" s="80">
        <f>VLOOKUP(J27,Table5[[Trina Storage Battery Systems]:[TRBM]],2,FALSE)</f>
        <v>4</v>
      </c>
      <c r="F38" s="66"/>
      <c r="G38" s="66"/>
      <c r="J38" s="97" t="s">
        <v>205</v>
      </c>
      <c r="K38" s="98">
        <v>45665</v>
      </c>
    </row>
  </sheetData>
  <sheetProtection sheet="1" objects="1" scenarios="1" selectLockedCells="1"/>
  <mergeCells count="51">
    <mergeCell ref="H9:J9"/>
    <mergeCell ref="F35:G35"/>
    <mergeCell ref="F34:G34"/>
    <mergeCell ref="J34:K34"/>
    <mergeCell ref="J33:K33"/>
    <mergeCell ref="I32:K32"/>
    <mergeCell ref="G16:I16"/>
    <mergeCell ref="G17:I17"/>
    <mergeCell ref="G18:I18"/>
    <mergeCell ref="G19:I19"/>
    <mergeCell ref="G20:I20"/>
    <mergeCell ref="G21:I21"/>
    <mergeCell ref="G30:I30"/>
    <mergeCell ref="G29:I29"/>
    <mergeCell ref="G28:I28"/>
    <mergeCell ref="G25:I25"/>
    <mergeCell ref="B8:C8"/>
    <mergeCell ref="B15:C15"/>
    <mergeCell ref="F33:G33"/>
    <mergeCell ref="B4:E5"/>
    <mergeCell ref="B7:E7"/>
    <mergeCell ref="G7:K7"/>
    <mergeCell ref="G15:I15"/>
    <mergeCell ref="G14:I14"/>
    <mergeCell ref="G13:I13"/>
    <mergeCell ref="G12:I12"/>
    <mergeCell ref="G11:I11"/>
    <mergeCell ref="G10:I10"/>
    <mergeCell ref="G8:I8"/>
    <mergeCell ref="B11:C11"/>
    <mergeCell ref="B10:C10"/>
    <mergeCell ref="B9:C9"/>
    <mergeCell ref="G27:I27"/>
    <mergeCell ref="B14:C14"/>
    <mergeCell ref="B13:C13"/>
    <mergeCell ref="B20:C20"/>
    <mergeCell ref="B19:C19"/>
    <mergeCell ref="B18:C18"/>
    <mergeCell ref="B17:C17"/>
    <mergeCell ref="B21:C21"/>
    <mergeCell ref="B24:C24"/>
    <mergeCell ref="B23:C23"/>
    <mergeCell ref="B25:C25"/>
    <mergeCell ref="G26:I26"/>
    <mergeCell ref="B30:C30"/>
    <mergeCell ref="B29:C29"/>
    <mergeCell ref="B28:C28"/>
    <mergeCell ref="B27:C27"/>
    <mergeCell ref="B12:C12"/>
    <mergeCell ref="B16:C16"/>
    <mergeCell ref="B22:C22"/>
  </mergeCells>
  <conditionalFormatting sqref="B11 D11:E11">
    <cfRule type="expression" dxfId="28" priority="23">
      <formula>$D$10="ja"</formula>
    </cfRule>
  </conditionalFormatting>
  <conditionalFormatting sqref="B13:B15 D13:E15">
    <cfRule type="expression" dxfId="27" priority="17">
      <formula>$D$12="nein"</formula>
    </cfRule>
  </conditionalFormatting>
  <conditionalFormatting sqref="B17:B20 D17:E20">
    <cfRule type="expression" dxfId="26" priority="13">
      <formula>$D$16="nein"</formula>
    </cfRule>
  </conditionalFormatting>
  <conditionalFormatting sqref="D11">
    <cfRule type="expression" dxfId="25" priority="24">
      <formula>$D$10="nein"</formula>
    </cfRule>
  </conditionalFormatting>
  <conditionalFormatting sqref="D13:D14">
    <cfRule type="expression" dxfId="24" priority="20">
      <formula>$D$12="ja"</formula>
    </cfRule>
  </conditionalFormatting>
  <conditionalFormatting sqref="D17:D19">
    <cfRule type="expression" dxfId="23" priority="15">
      <formula>$D$16="ja"</formula>
    </cfRule>
  </conditionalFormatting>
  <conditionalFormatting sqref="G13:H13 J13:K13">
    <cfRule type="expression" dxfId="22" priority="26">
      <formula>$J$12="ja"</formula>
    </cfRule>
  </conditionalFormatting>
  <conditionalFormatting sqref="G20:H20 J20:K20">
    <cfRule type="expression" dxfId="21" priority="25">
      <formula>$J$19="ja"</formula>
    </cfRule>
  </conditionalFormatting>
  <conditionalFormatting sqref="G30:H30 J30:K30">
    <cfRule type="expression" dxfId="20" priority="40">
      <formula>$D$27="ja"</formula>
    </cfRule>
  </conditionalFormatting>
  <conditionalFormatting sqref="H23:K23">
    <cfRule type="expression" dxfId="19" priority="10">
      <formula>$J$15&lt;2</formula>
    </cfRule>
  </conditionalFormatting>
  <conditionalFormatting sqref="H24:K24">
    <cfRule type="expression" dxfId="18" priority="11">
      <formula>$J$15&lt;3</formula>
    </cfRule>
  </conditionalFormatting>
  <conditionalFormatting sqref="J13">
    <cfRule type="expression" dxfId="17" priority="32">
      <formula>$J$12="nein"</formula>
    </cfRule>
  </conditionalFormatting>
  <conditionalFormatting sqref="J20">
    <cfRule type="expression" dxfId="16" priority="27">
      <formula>$J$19="nein"</formula>
    </cfRule>
  </conditionalFormatting>
  <conditionalFormatting sqref="J21">
    <cfRule type="cellIs" dxfId="15" priority="6" operator="greaterThan">
      <formula>1.5</formula>
    </cfRule>
  </conditionalFormatting>
  <conditionalFormatting sqref="J25">
    <cfRule type="expression" dxfId="8" priority="1">
      <formula>AND($J$25=$J$14*1000/$J$10,$G$25="")</formula>
    </cfRule>
  </conditionalFormatting>
  <dataValidations count="3">
    <dataValidation type="whole" allowBlank="1" showInputMessage="1" showErrorMessage="1" sqref="D23" xr:uid="{4A4D6DB1-F282-471B-9A9F-638BCCC7D940}">
      <formula1>500</formula1>
      <formula2>1400</formula2>
    </dataValidation>
    <dataValidation type="whole" allowBlank="1" showInputMessage="1" showErrorMessage="1" sqref="J15" xr:uid="{486D258D-CE8C-4146-A775-B4132A5FCD74}">
      <formula1>1</formula1>
      <formula2>3</formula2>
    </dataValidation>
    <dataValidation type="list" allowBlank="1" showInputMessage="1" showErrorMessage="1" sqref="J10" xr:uid="{2436E1C2-15A1-4C66-8FFE-64D702AD3577}">
      <formula1>INDIRECT(SUBSTITUTE(SUBSTITUTE($H$9," ","_"),"+","_"))</formula1>
    </dataValidation>
  </dataValidations>
  <pageMargins left="0.7" right="0.7" top="0.75" bottom="0.75" header="0.3" footer="0.3"/>
  <pageSetup scale="85" orientation="landscape" r:id="rId1"/>
  <colBreaks count="1" manualBreakCount="1">
    <brk id="11" max="1048575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between" id="{6DF6347B-A462-478A-87B4-B6E7B71533E7}">
            <xm:f>0</xm:f>
            <xm:f>$J$16-Data!$U$21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8" operator="between" id="{A77F3556-34EB-40EA-8356-A7C97B7F8DAD}">
            <xm:f>$J$16+Data!$U$21</xm:f>
            <xm:f>1.5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9" operator="between" id="{8F57DA1F-92A6-4A29-8CE6-F825AEC71C86}">
            <xm:f>$J$16-Data!$U$21</xm:f>
            <xm:f>$J$16+Data!$U$21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45" operator="between" id="{EAA5DD66-DA07-464F-B3E8-BCA20AECF03C}">
            <xm:f>Data!$L$2</xm:f>
            <xm:f>Data!$L$4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6" operator="greaterThan" id="{41F6BE69-1F2D-4083-A8E8-3F0B3F8EBD20}">
            <xm:f>Data!$L$4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7" operator="lessThan" id="{BD5AACEB-0F9B-44C4-972B-3DB7E98F9108}">
            <xm:f>Data!$L$2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J22:J24</xm:sqref>
        </x14:conditionalFormatting>
        <x14:conditionalFormatting xmlns:xm="http://schemas.microsoft.com/office/excel/2006/main">
          <x14:cfRule type="cellIs" priority="37" operator="lessThan" id="{0451559E-59EE-44F6-B2CB-645875C56585}">
            <xm:f>Speicher!$H$6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8" operator="greaterThan" id="{1E650100-E5A7-4D38-9AD5-FB3237514DB8}">
            <xm:f>Speicher!$H$6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J29</xm:sqref>
        </x14:conditionalFormatting>
        <x14:conditionalFormatting xmlns:xm="http://schemas.microsoft.com/office/excel/2006/main">
          <x14:cfRule type="cellIs" priority="59" operator="lessThan" id="{505CDB1D-4DE5-4150-A612-FB9878E7AADC}">
            <xm:f>Speicher!$H$4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60" operator="greaterThan" id="{A29475A5-2BA4-4AB4-9C81-6A760EA7D00A}">
            <xm:f>Speicher!$H$4</xm:f>
            <x14:dxf>
              <font>
                <color rgb="FF9C0006"/>
              </font>
              <fill>
                <patternFill>
                  <bgColor rgb="FFFFC000"/>
                </patternFill>
              </fill>
            </x14:dxf>
          </x14:cfRule>
          <xm:sqref>J30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321383D-5DFD-47BD-8379-92AC49F46A57}">
          <x14:formula1>
            <xm:f>Data!$E$2:$E$6</xm:f>
          </x14:formula1>
          <xm:sqref>D8</xm:sqref>
        </x14:dataValidation>
        <x14:dataValidation type="list" allowBlank="1" showInputMessage="1" showErrorMessage="1" xr:uid="{E75871F7-910C-49F7-9877-9A9042EA82EB}">
          <x14:formula1>
            <xm:f>Data!$G$2:$G$3</xm:f>
          </x14:formula1>
          <xm:sqref>D12 J12 J19 D10 D16 D27</xm:sqref>
        </x14:dataValidation>
        <x14:dataValidation type="list" allowBlank="1" showInputMessage="1" showErrorMessage="1" xr:uid="{A91F8273-1623-47EE-911D-5B5CD77591D9}">
          <x14:formula1>
            <xm:f>Data!$N$1:$N$4</xm:f>
          </x14:formula1>
          <xm:sqref>J20</xm:sqref>
        </x14:dataValidation>
        <x14:dataValidation type="list" allowBlank="1" showInputMessage="1" showErrorMessage="1" xr:uid="{F3588F7D-0146-4F0C-BB3E-7B85D950009C}">
          <x14:formula1>
            <xm:f>Speicher!$H$19:$H$24</xm:f>
          </x14:formula1>
          <xm:sqref>J27</xm:sqref>
        </x14:dataValidation>
        <x14:dataValidation type="list" allowBlank="1" showInputMessage="1" showErrorMessage="1" xr:uid="{A3B26FDD-43E9-4023-A02B-ED0D9E417521}">
          <x14:formula1>
            <xm:f>Data!$Q$2:$Q$7</xm:f>
          </x14:formula1>
          <xm:sqref>D19</xm:sqref>
        </x14:dataValidation>
        <x14:dataValidation type="list" allowBlank="1" showInputMessage="1" showErrorMessage="1" xr:uid="{956CD3BC-6791-426D-A7C7-6CCFA884BEA2}">
          <x14:formula1>
            <xm:f>Data!$S$2:$S$9</xm:f>
          </x14:formula1>
          <xm:sqref>H22:H24</xm:sqref>
        </x14:dataValidation>
        <x14:dataValidation type="list" allowBlank="1" showInputMessage="1" showErrorMessage="1" xr:uid="{90946DDC-121C-413F-A20D-7516F01CBDA6}">
          <x14:formula1>
            <xm:f>Data!$U$2:$U$10</xm:f>
          </x14:formula1>
          <xm:sqref>I22:I24</xm:sqref>
        </x14:dataValidation>
        <x14:dataValidation type="list" allowBlank="1" showInputMessage="1" showErrorMessage="1" xr:uid="{0A42BCF3-EBDD-4D27-A281-E8B6B49BCC8F}">
          <x14:formula1>
            <xm:f>Data!$H$2:$H$9</xm:f>
          </x14:formula1>
          <xm:sqref>D17</xm:sqref>
        </x14:dataValidation>
        <x14:dataValidation type="list" allowBlank="1" showInputMessage="1" showErrorMessage="1" xr:uid="{BA081048-F8D0-41C3-AF38-BFD329C2E0FA}">
          <x14:formula1>
            <xm:f>Module!$C$2:$Q$2</xm:f>
          </x14:formula1>
          <xm:sqref>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C31D-8EB3-4893-A84A-DF7EB9081831}">
  <sheetPr codeName="Sheet5"/>
  <dimension ref="B2:N37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3.7109375" customWidth="1"/>
    <col min="2" max="2" width="35.42578125" bestFit="1" customWidth="1"/>
    <col min="4" max="4" width="24" bestFit="1" customWidth="1"/>
    <col min="7" max="7" width="33.28515625" bestFit="1" customWidth="1"/>
    <col min="8" max="8" width="30" bestFit="1" customWidth="1"/>
    <col min="9" max="10" width="11.85546875" customWidth="1"/>
    <col min="11" max="11" width="14" customWidth="1"/>
    <col min="12" max="12" width="14.28515625" customWidth="1"/>
    <col min="13" max="13" width="10" customWidth="1"/>
    <col min="14" max="14" width="9.85546875" customWidth="1"/>
  </cols>
  <sheetData>
    <row r="2" spans="2:14" x14ac:dyDescent="0.25">
      <c r="B2" t="s">
        <v>65</v>
      </c>
      <c r="C2" s="4">
        <f>MAIN!D21</f>
        <v>4000</v>
      </c>
      <c r="D2" t="s">
        <v>15</v>
      </c>
      <c r="G2" t="s">
        <v>89</v>
      </c>
    </row>
    <row r="3" spans="2:14" x14ac:dyDescent="0.25">
      <c r="B3" t="s">
        <v>66</v>
      </c>
      <c r="C3">
        <f>MAIN!J14</f>
        <v>11.88</v>
      </c>
      <c r="D3" t="s">
        <v>19</v>
      </c>
      <c r="G3" t="s">
        <v>90</v>
      </c>
      <c r="H3">
        <v>0.5</v>
      </c>
      <c r="I3" t="s">
        <v>23</v>
      </c>
    </row>
    <row r="4" spans="2:14" x14ac:dyDescent="0.25">
      <c r="B4" t="s">
        <v>40</v>
      </c>
      <c r="C4" t="str">
        <f>MAIN!J8</f>
        <v>3-phasig</v>
      </c>
      <c r="G4" t="s">
        <v>91</v>
      </c>
      <c r="H4">
        <v>1.5</v>
      </c>
      <c r="I4" t="s">
        <v>24</v>
      </c>
    </row>
    <row r="5" spans="2:14" x14ac:dyDescent="0.25">
      <c r="B5" t="s">
        <v>67</v>
      </c>
      <c r="C5" s="11">
        <v>0.5</v>
      </c>
      <c r="G5" t="s">
        <v>92</v>
      </c>
      <c r="H5">
        <v>1.5</v>
      </c>
      <c r="I5" t="s">
        <v>25</v>
      </c>
    </row>
    <row r="6" spans="2:14" x14ac:dyDescent="0.25">
      <c r="B6" t="s">
        <v>68</v>
      </c>
      <c r="C6" s="6">
        <f>C2/365*C5</f>
        <v>5.4794520547945202</v>
      </c>
      <c r="D6" t="s">
        <v>21</v>
      </c>
      <c r="G6" t="s">
        <v>93</v>
      </c>
      <c r="H6">
        <v>0.5</v>
      </c>
      <c r="I6" t="s">
        <v>26</v>
      </c>
    </row>
    <row r="7" spans="2:14" x14ac:dyDescent="0.25">
      <c r="B7" t="s">
        <v>69</v>
      </c>
      <c r="C7" s="6">
        <f>C2/365</f>
        <v>10.95890410958904</v>
      </c>
      <c r="D7" t="s">
        <v>21</v>
      </c>
    </row>
    <row r="9" spans="2:14" x14ac:dyDescent="0.25">
      <c r="B9" t="s">
        <v>70</v>
      </c>
      <c r="G9" t="s">
        <v>107</v>
      </c>
      <c r="H9" t="s">
        <v>27</v>
      </c>
      <c r="I9" t="s">
        <v>77</v>
      </c>
      <c r="J9" t="s">
        <v>78</v>
      </c>
      <c r="K9" t="s">
        <v>28</v>
      </c>
      <c r="L9" t="s">
        <v>29</v>
      </c>
      <c r="M9" t="s">
        <v>30</v>
      </c>
      <c r="N9" t="s">
        <v>31</v>
      </c>
    </row>
    <row r="10" spans="2:14" x14ac:dyDescent="0.25">
      <c r="B10" t="s">
        <v>80</v>
      </c>
      <c r="C10" s="6">
        <f>ROUND(1.5*C2/1000,1)</f>
        <v>6</v>
      </c>
      <c r="D10" t="s">
        <v>8</v>
      </c>
      <c r="G10" t="s">
        <v>76</v>
      </c>
      <c r="H10" s="7">
        <v>2.56</v>
      </c>
      <c r="I10" s="1">
        <v>0.9</v>
      </c>
      <c r="J10" s="7">
        <f>H10*I10</f>
        <v>2.3040000000000003</v>
      </c>
      <c r="K10">
        <v>2</v>
      </c>
      <c r="L10">
        <v>3</v>
      </c>
      <c r="M10">
        <v>51.2</v>
      </c>
      <c r="N10">
        <v>30</v>
      </c>
    </row>
    <row r="11" spans="2:14" x14ac:dyDescent="0.25">
      <c r="B11" t="s">
        <v>81</v>
      </c>
      <c r="C11">
        <f>ROUND(1.5*C3,1)</f>
        <v>17.8</v>
      </c>
      <c r="D11" t="s">
        <v>8</v>
      </c>
      <c r="H11" s="7"/>
      <c r="I11" s="7"/>
    </row>
    <row r="12" spans="2:14" x14ac:dyDescent="0.25">
      <c r="B12" t="s">
        <v>71</v>
      </c>
      <c r="C12" s="6">
        <f>C7/VLOOKUP(C14,Table4[],3,FALSE)</f>
        <v>12.176560121765601</v>
      </c>
      <c r="D12" t="s">
        <v>8</v>
      </c>
    </row>
    <row r="14" spans="2:14" x14ac:dyDescent="0.25">
      <c r="B14" t="s">
        <v>72</v>
      </c>
      <c r="C14" t="s">
        <v>76</v>
      </c>
    </row>
    <row r="15" spans="2:14" x14ac:dyDescent="0.25">
      <c r="B15" t="s">
        <v>73</v>
      </c>
      <c r="C15" s="6">
        <f>VLOOKUP(C14,Table4[],IF(C4=1,5,6),FALSE)</f>
        <v>3</v>
      </c>
      <c r="D15" t="s">
        <v>79</v>
      </c>
    </row>
    <row r="16" spans="2:14" x14ac:dyDescent="0.25">
      <c r="B16" t="s">
        <v>74</v>
      </c>
      <c r="C16" s="6">
        <f>C10/VLOOKUP(C14,Table4[],4,FALSE)</f>
        <v>2.6041666666666665</v>
      </c>
      <c r="D16" t="s">
        <v>82</v>
      </c>
    </row>
    <row r="17" spans="2:12" x14ac:dyDescent="0.25">
      <c r="B17" t="s">
        <v>75</v>
      </c>
      <c r="C17" s="6">
        <f>ROUNDDOWN(C11/VLOOKUP(C14,Table4[],4,FALSE),0)</f>
        <v>7</v>
      </c>
      <c r="D17" t="s">
        <v>82</v>
      </c>
    </row>
    <row r="18" spans="2:12" x14ac:dyDescent="0.25">
      <c r="B18" t="s">
        <v>116</v>
      </c>
      <c r="C18" s="6">
        <f>ROUND(C12/VLOOKUP(C14,Table4[],4,FALSE),0)</f>
        <v>5</v>
      </c>
      <c r="G18" s="18" t="s">
        <v>117</v>
      </c>
      <c r="H18" s="18" t="s">
        <v>108</v>
      </c>
      <c r="I18" s="18" t="s">
        <v>115</v>
      </c>
      <c r="J18" s="18" t="s">
        <v>27</v>
      </c>
      <c r="K18" s="18" t="s">
        <v>77</v>
      </c>
      <c r="L18" s="18" t="s">
        <v>78</v>
      </c>
    </row>
    <row r="19" spans="2:12" x14ac:dyDescent="0.25">
      <c r="B19" t="s">
        <v>120</v>
      </c>
      <c r="C19">
        <f>IF(ROUNDUP(IF(C16&gt;C15,C16,C15),0)&gt;C17,C17,ROUNDUP(IF(C16&gt;C15,C16,C15),0))</f>
        <v>3</v>
      </c>
      <c r="G19" s="19">
        <v>3</v>
      </c>
      <c r="H19" s="19" t="s">
        <v>109</v>
      </c>
      <c r="I19" s="19">
        <v>3</v>
      </c>
      <c r="J19" s="20">
        <f t="shared" ref="J19:J24" si="0">G19*2.56</f>
        <v>7.68</v>
      </c>
      <c r="K19" s="21">
        <v>0.9</v>
      </c>
      <c r="L19" s="20">
        <f>J19*K19</f>
        <v>6.9119999999999999</v>
      </c>
    </row>
    <row r="20" spans="2:12" x14ac:dyDescent="0.25">
      <c r="B20" t="s">
        <v>121</v>
      </c>
      <c r="C20" t="str">
        <f>MAIN!J27</f>
        <v>TRB 10K-HT</v>
      </c>
      <c r="G20" s="19">
        <v>4</v>
      </c>
      <c r="H20" s="19" t="s">
        <v>110</v>
      </c>
      <c r="I20" s="19">
        <v>4</v>
      </c>
      <c r="J20" s="20">
        <f t="shared" si="0"/>
        <v>10.24</v>
      </c>
      <c r="K20" s="21">
        <v>0.9</v>
      </c>
      <c r="L20" s="20">
        <f t="shared" ref="L20:L24" si="1">J20*K20</f>
        <v>9.2160000000000011</v>
      </c>
    </row>
    <row r="21" spans="2:12" x14ac:dyDescent="0.25">
      <c r="B21" t="s">
        <v>122</v>
      </c>
      <c r="C21" s="6">
        <f>VLOOKUP(C20,Table5[[Trina Storage Battery Systems]:[nutzbar]],2,FALSE)</f>
        <v>4</v>
      </c>
      <c r="G21" s="19">
        <v>5</v>
      </c>
      <c r="H21" s="19" t="s">
        <v>111</v>
      </c>
      <c r="I21" s="19">
        <v>5</v>
      </c>
      <c r="J21" s="20">
        <f t="shared" si="0"/>
        <v>12.8</v>
      </c>
      <c r="K21" s="21">
        <v>0.9</v>
      </c>
      <c r="L21" s="20">
        <f t="shared" si="1"/>
        <v>11.520000000000001</v>
      </c>
    </row>
    <row r="22" spans="2:12" x14ac:dyDescent="0.25">
      <c r="B22" t="s">
        <v>83</v>
      </c>
      <c r="C22" s="6">
        <f>VLOOKUP(C14,Table4[],4,FALSE)*C21</f>
        <v>9.2160000000000011</v>
      </c>
      <c r="D22" t="s">
        <v>8</v>
      </c>
      <c r="G22" s="19">
        <v>6</v>
      </c>
      <c r="H22" s="19" t="s">
        <v>112</v>
      </c>
      <c r="I22" s="19">
        <v>6</v>
      </c>
      <c r="J22" s="20">
        <f t="shared" si="0"/>
        <v>15.36</v>
      </c>
      <c r="K22" s="21">
        <v>0.9</v>
      </c>
      <c r="L22" s="20">
        <f t="shared" si="1"/>
        <v>13.824</v>
      </c>
    </row>
    <row r="23" spans="2:12" x14ac:dyDescent="0.25">
      <c r="B23" t="s">
        <v>84</v>
      </c>
      <c r="C23" s="6">
        <f>VLOOKUP(C14,Table4[],2,FALSE)*C21</f>
        <v>10.24</v>
      </c>
      <c r="D23" t="s">
        <v>8</v>
      </c>
      <c r="G23" s="19">
        <v>7</v>
      </c>
      <c r="H23" s="19" t="s">
        <v>113</v>
      </c>
      <c r="I23" s="19">
        <v>7</v>
      </c>
      <c r="J23" s="20">
        <f t="shared" si="0"/>
        <v>17.920000000000002</v>
      </c>
      <c r="K23" s="21">
        <v>0.9</v>
      </c>
      <c r="L23" s="20">
        <f t="shared" si="1"/>
        <v>16.128000000000004</v>
      </c>
    </row>
    <row r="24" spans="2:12" x14ac:dyDescent="0.25">
      <c r="C24" s="6"/>
      <c r="G24" s="22">
        <v>8</v>
      </c>
      <c r="H24" s="22" t="s">
        <v>114</v>
      </c>
      <c r="I24" s="22">
        <v>8</v>
      </c>
      <c r="J24" s="23">
        <f t="shared" si="0"/>
        <v>20.48</v>
      </c>
      <c r="K24" s="24">
        <v>0.9</v>
      </c>
      <c r="L24" s="23">
        <f t="shared" si="1"/>
        <v>18.432000000000002</v>
      </c>
    </row>
    <row r="25" spans="2:12" x14ac:dyDescent="0.25">
      <c r="B25" t="s">
        <v>85</v>
      </c>
      <c r="C25" s="6">
        <f>VLOOKUP(C14,Table4[],7,FALSE)</f>
        <v>51.2</v>
      </c>
      <c r="D25" t="s">
        <v>32</v>
      </c>
    </row>
    <row r="26" spans="2:12" x14ac:dyDescent="0.25">
      <c r="B26" t="s">
        <v>141</v>
      </c>
      <c r="C26" s="6">
        <v>25</v>
      </c>
      <c r="D26" t="s">
        <v>33</v>
      </c>
    </row>
    <row r="27" spans="2:12" x14ac:dyDescent="0.25">
      <c r="B27" t="s">
        <v>140</v>
      </c>
      <c r="C27">
        <v>30</v>
      </c>
      <c r="D27" t="s">
        <v>33</v>
      </c>
    </row>
    <row r="28" spans="2:12" x14ac:dyDescent="0.25">
      <c r="B28" t="s">
        <v>142</v>
      </c>
      <c r="C28" s="6">
        <f>C21*C25*C26/1000</f>
        <v>5.12</v>
      </c>
      <c r="D28" t="s">
        <v>4</v>
      </c>
    </row>
    <row r="29" spans="2:12" x14ac:dyDescent="0.25">
      <c r="B29" t="s">
        <v>143</v>
      </c>
      <c r="C29" s="6">
        <f>C21*C25*C27/1000</f>
        <v>6.1440000000000001</v>
      </c>
      <c r="D29" t="s">
        <v>4</v>
      </c>
    </row>
    <row r="30" spans="2:12" x14ac:dyDescent="0.25">
      <c r="B30" t="s">
        <v>86</v>
      </c>
      <c r="C30" s="6">
        <f>C3</f>
        <v>11.88</v>
      </c>
      <c r="D30" t="s">
        <v>4</v>
      </c>
    </row>
    <row r="31" spans="2:12" x14ac:dyDescent="0.25">
      <c r="B31" t="s">
        <v>87</v>
      </c>
      <c r="C31" s="6">
        <f>VLOOKUP(IF(MAIN!J19="ja",MAIN!J18,MAIN!J20),Data!N1:O4,2,FALSE)/1000</f>
        <v>10</v>
      </c>
      <c r="D31" t="s">
        <v>4</v>
      </c>
    </row>
    <row r="32" spans="2:12" x14ac:dyDescent="0.25">
      <c r="B32" t="s">
        <v>202</v>
      </c>
      <c r="C32" s="6">
        <f>MIN(C28,C30,C31)</f>
        <v>5.12</v>
      </c>
      <c r="D32" t="s">
        <v>4</v>
      </c>
    </row>
    <row r="33" spans="2:4" x14ac:dyDescent="0.25">
      <c r="B33" t="s">
        <v>203</v>
      </c>
      <c r="C33" s="6">
        <f>MIN(C28,C31)</f>
        <v>5.12</v>
      </c>
      <c r="D33" t="s">
        <v>4</v>
      </c>
    </row>
    <row r="34" spans="2:4" x14ac:dyDescent="0.25">
      <c r="B34" t="s">
        <v>119</v>
      </c>
      <c r="C34" s="6">
        <f>MIN(C29,C31)</f>
        <v>6.1440000000000001</v>
      </c>
      <c r="D34" t="s">
        <v>4</v>
      </c>
    </row>
    <row r="35" spans="2:4" x14ac:dyDescent="0.25">
      <c r="B35" t="s">
        <v>200</v>
      </c>
      <c r="C35" s="7">
        <f>C32/C22</f>
        <v>0.55555555555555547</v>
      </c>
      <c r="D35" t="s">
        <v>22</v>
      </c>
    </row>
    <row r="36" spans="2:4" x14ac:dyDescent="0.25">
      <c r="B36" t="s">
        <v>201</v>
      </c>
      <c r="C36" s="7">
        <f>C34/C22</f>
        <v>0.66666666666666663</v>
      </c>
      <c r="D36" t="s">
        <v>22</v>
      </c>
    </row>
    <row r="37" spans="2:4" x14ac:dyDescent="0.25">
      <c r="B37" t="s">
        <v>88</v>
      </c>
      <c r="C37" s="7">
        <f>C22/C3</f>
        <v>0.77575757575757576</v>
      </c>
      <c r="D37" t="s">
        <v>1</v>
      </c>
    </row>
  </sheetData>
  <conditionalFormatting sqref="C35:C36">
    <cfRule type="cellIs" dxfId="3" priority="29" operator="lessThan">
      <formula>$H$6</formula>
    </cfRule>
    <cfRule type="cellIs" dxfId="2" priority="30" operator="greaterThan">
      <formula>$H$6</formula>
    </cfRule>
  </conditionalFormatting>
  <conditionalFormatting sqref="C37">
    <cfRule type="cellIs" dxfId="1" priority="31" operator="lessThan">
      <formula>$H$4</formula>
    </cfRule>
    <cfRule type="cellIs" dxfId="0" priority="32" operator="greaterThan">
      <formula>$H$4</formula>
    </cfRule>
  </conditionalFormatting>
  <dataValidations disablePrompts="1" count="1">
    <dataValidation type="list" allowBlank="1" showInputMessage="1" showErrorMessage="1" sqref="C14" xr:uid="{3C806413-A062-416A-8197-A5138827046E}">
      <formula1>$G$10:$G$15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DE37-B549-4290-9C62-0CB4992622B1}">
  <sheetPr codeName="Sheet6"/>
  <dimension ref="B2:D15"/>
  <sheetViews>
    <sheetView workbookViewId="0">
      <selection activeCell="C4" sqref="C4"/>
    </sheetView>
  </sheetViews>
  <sheetFormatPr baseColWidth="10" defaultColWidth="9.140625" defaultRowHeight="15" x14ac:dyDescent="0.25"/>
  <cols>
    <col min="2" max="2" width="27.28515625" bestFit="1" customWidth="1"/>
    <col min="3" max="3" width="17.7109375" bestFit="1" customWidth="1"/>
    <col min="4" max="4" width="20" bestFit="1" customWidth="1"/>
  </cols>
  <sheetData>
    <row r="2" spans="2:4" x14ac:dyDescent="0.25">
      <c r="B2" s="2" t="s">
        <v>94</v>
      </c>
    </row>
    <row r="3" spans="2:4" x14ac:dyDescent="0.25">
      <c r="B3" t="s">
        <v>95</v>
      </c>
      <c r="C3">
        <f>MAIN!D13</f>
        <v>10000</v>
      </c>
      <c r="D3" t="s">
        <v>9</v>
      </c>
    </row>
    <row r="4" spans="2:4" x14ac:dyDescent="0.25">
      <c r="B4" t="s">
        <v>96</v>
      </c>
      <c r="C4" s="10">
        <v>20</v>
      </c>
      <c r="D4" t="s">
        <v>18</v>
      </c>
    </row>
    <row r="5" spans="2:4" x14ac:dyDescent="0.25">
      <c r="B5" t="s">
        <v>97</v>
      </c>
      <c r="C5" s="1">
        <f>MAIN!D14</f>
        <v>0.5</v>
      </c>
    </row>
    <row r="6" spans="2:4" x14ac:dyDescent="0.25">
      <c r="B6" s="2" t="s">
        <v>98</v>
      </c>
      <c r="C6" s="2">
        <f>C3*C4/100*C5</f>
        <v>1000</v>
      </c>
      <c r="D6" s="2" t="s">
        <v>15</v>
      </c>
    </row>
    <row r="7" spans="2:4" x14ac:dyDescent="0.25">
      <c r="B7" s="2"/>
      <c r="C7" s="2"/>
      <c r="D7" s="2"/>
    </row>
    <row r="8" spans="2:4" x14ac:dyDescent="0.25">
      <c r="B8" t="s">
        <v>62</v>
      </c>
      <c r="C8" t="str">
        <f>MAIN!D17</f>
        <v>Klasse C</v>
      </c>
    </row>
    <row r="9" spans="2:4" x14ac:dyDescent="0.25">
      <c r="B9" t="s">
        <v>101</v>
      </c>
      <c r="C9">
        <f>VLOOKUP(MAIN!D17,Data!H2:J9,2,FALSE)</f>
        <v>100</v>
      </c>
      <c r="D9" t="s">
        <v>14</v>
      </c>
    </row>
    <row r="10" spans="2:4" x14ac:dyDescent="0.25">
      <c r="B10" t="s">
        <v>100</v>
      </c>
      <c r="C10">
        <f>MAIN!D18</f>
        <v>150</v>
      </c>
      <c r="D10" t="s">
        <v>13</v>
      </c>
    </row>
    <row r="11" spans="2:4" x14ac:dyDescent="0.25">
      <c r="B11" t="s">
        <v>99</v>
      </c>
      <c r="C11">
        <f>C9*MAIN!D18</f>
        <v>15000</v>
      </c>
      <c r="D11" t="s">
        <v>15</v>
      </c>
    </row>
    <row r="12" spans="2:4" x14ac:dyDescent="0.25">
      <c r="B12" t="s">
        <v>102</v>
      </c>
      <c r="C12" s="4">
        <f>MAIN!D19</f>
        <v>4</v>
      </c>
    </row>
    <row r="13" spans="2:4" x14ac:dyDescent="0.25">
      <c r="B13" t="s">
        <v>103</v>
      </c>
      <c r="C13" s="1">
        <f>VLOOKUP(MAIN!D17,Data!H2:J9,3,FALSE)</f>
        <v>0.97</v>
      </c>
      <c r="D13" t="s">
        <v>104</v>
      </c>
    </row>
    <row r="14" spans="2:4" x14ac:dyDescent="0.25">
      <c r="B14" s="2" t="s">
        <v>17</v>
      </c>
      <c r="C14" s="5">
        <f>C11/C12*C13</f>
        <v>3637.5</v>
      </c>
      <c r="D14" s="2" t="s">
        <v>15</v>
      </c>
    </row>
    <row r="15" spans="2:4" x14ac:dyDescent="0.25">
      <c r="B15" s="2" t="s">
        <v>64</v>
      </c>
      <c r="C15" s="5">
        <f>ROUND(C14/100,0)*100</f>
        <v>3600</v>
      </c>
      <c r="D15" s="2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BFD6-665E-4B57-86CA-B644F6032D06}">
  <sheetPr codeName="Sheet3"/>
  <dimension ref="A1:Q17"/>
  <sheetViews>
    <sheetView workbookViewId="0">
      <selection activeCell="P23" sqref="P23"/>
    </sheetView>
  </sheetViews>
  <sheetFormatPr baseColWidth="10" defaultColWidth="9.140625" defaultRowHeight="15" x14ac:dyDescent="0.25"/>
  <cols>
    <col min="1" max="1" width="3.7109375" style="8" customWidth="1"/>
    <col min="2" max="2" width="5.42578125" style="8" bestFit="1" customWidth="1"/>
    <col min="3" max="6" width="12.7109375" style="26" customWidth="1"/>
    <col min="7" max="17" width="12.7109375" style="8" customWidth="1"/>
    <col min="18" max="16384" width="9.140625" style="8"/>
  </cols>
  <sheetData>
    <row r="1" spans="1:17" x14ac:dyDescent="0.25">
      <c r="A1" s="9"/>
    </row>
    <row r="2" spans="1:17" ht="46.5" customHeight="1" x14ac:dyDescent="0.25">
      <c r="C2" s="31" t="s">
        <v>146</v>
      </c>
      <c r="D2" s="31" t="s">
        <v>144</v>
      </c>
      <c r="E2" s="31" t="s">
        <v>145</v>
      </c>
      <c r="F2" s="31" t="s">
        <v>147</v>
      </c>
      <c r="G2" s="31" t="s">
        <v>160</v>
      </c>
      <c r="H2" s="31" t="s">
        <v>161</v>
      </c>
      <c r="I2" s="31" t="s">
        <v>163</v>
      </c>
      <c r="J2" s="31" t="s">
        <v>162</v>
      </c>
      <c r="K2" s="31" t="s">
        <v>156</v>
      </c>
      <c r="L2" s="31" t="s">
        <v>157</v>
      </c>
      <c r="M2" s="31" t="s">
        <v>158</v>
      </c>
      <c r="N2" s="31" t="s">
        <v>155</v>
      </c>
      <c r="O2" s="31" t="s">
        <v>154</v>
      </c>
      <c r="P2" s="31" t="s">
        <v>153</v>
      </c>
      <c r="Q2" s="31" t="s">
        <v>152</v>
      </c>
    </row>
    <row r="3" spans="1:17" x14ac:dyDescent="0.25">
      <c r="C3" s="29">
        <v>430</v>
      </c>
      <c r="D3" s="29">
        <v>425</v>
      </c>
      <c r="E3" s="29">
        <v>425</v>
      </c>
      <c r="F3" s="29">
        <v>475</v>
      </c>
      <c r="G3" s="29">
        <v>380</v>
      </c>
      <c r="H3" s="29">
        <v>390</v>
      </c>
      <c r="I3" s="29">
        <v>405</v>
      </c>
      <c r="J3" s="29">
        <v>405</v>
      </c>
      <c r="K3" s="29"/>
      <c r="L3" s="29"/>
      <c r="M3" s="29"/>
      <c r="N3" s="29"/>
      <c r="O3" s="29"/>
      <c r="P3" s="29"/>
      <c r="Q3" s="29"/>
    </row>
    <row r="4" spans="1:17" x14ac:dyDescent="0.25">
      <c r="C4" s="30">
        <v>435</v>
      </c>
      <c r="D4" s="30">
        <v>430</v>
      </c>
      <c r="E4" s="30">
        <v>430</v>
      </c>
      <c r="F4" s="30">
        <v>480</v>
      </c>
      <c r="G4" s="30">
        <v>385</v>
      </c>
      <c r="H4" s="30">
        <v>395</v>
      </c>
      <c r="I4" s="30">
        <v>410</v>
      </c>
      <c r="J4" s="30">
        <v>410</v>
      </c>
      <c r="K4" s="30"/>
      <c r="L4" s="30"/>
      <c r="M4" s="30"/>
      <c r="N4" s="30"/>
      <c r="O4" s="30"/>
      <c r="P4" s="30"/>
      <c r="Q4" s="30"/>
    </row>
    <row r="5" spans="1:17" x14ac:dyDescent="0.25">
      <c r="C5" s="30">
        <v>440</v>
      </c>
      <c r="D5" s="30">
        <v>435</v>
      </c>
      <c r="E5" s="30">
        <v>435</v>
      </c>
      <c r="F5" s="30">
        <v>485</v>
      </c>
      <c r="G5" s="30">
        <v>390</v>
      </c>
      <c r="H5" s="30">
        <v>400</v>
      </c>
      <c r="I5" s="30">
        <v>415</v>
      </c>
      <c r="J5" s="30">
        <v>415</v>
      </c>
      <c r="K5" s="30"/>
      <c r="L5" s="30"/>
      <c r="M5" s="30"/>
      <c r="N5" s="30"/>
      <c r="O5" s="30"/>
      <c r="P5" s="30"/>
      <c r="Q5" s="30"/>
    </row>
    <row r="6" spans="1:17" x14ac:dyDescent="0.25">
      <c r="C6" s="30">
        <v>445</v>
      </c>
      <c r="D6" s="30">
        <v>440</v>
      </c>
      <c r="E6" s="30">
        <v>440</v>
      </c>
      <c r="F6" s="30">
        <v>490</v>
      </c>
      <c r="G6" s="30">
        <v>395</v>
      </c>
      <c r="H6" s="30">
        <v>405</v>
      </c>
      <c r="I6" s="30">
        <v>420</v>
      </c>
      <c r="J6" s="30">
        <v>420</v>
      </c>
      <c r="K6" s="30"/>
      <c r="L6" s="30"/>
      <c r="M6" s="30"/>
      <c r="N6" s="30"/>
      <c r="O6" s="30"/>
      <c r="P6" s="30"/>
      <c r="Q6" s="30"/>
    </row>
    <row r="7" spans="1:17" x14ac:dyDescent="0.25">
      <c r="C7" s="30">
        <v>450</v>
      </c>
      <c r="D7" s="30">
        <v>445</v>
      </c>
      <c r="E7" s="30">
        <v>445</v>
      </c>
      <c r="F7" s="30">
        <v>495</v>
      </c>
      <c r="G7" s="30">
        <v>400</v>
      </c>
      <c r="H7" s="30">
        <v>410</v>
      </c>
      <c r="I7" s="30">
        <v>425</v>
      </c>
      <c r="J7" s="30">
        <v>425</v>
      </c>
      <c r="K7" s="30"/>
      <c r="L7" s="30"/>
      <c r="M7" s="30"/>
      <c r="N7" s="30"/>
      <c r="O7" s="30"/>
      <c r="P7" s="30"/>
      <c r="Q7" s="30"/>
    </row>
    <row r="8" spans="1:17" x14ac:dyDescent="0.25">
      <c r="C8" s="30">
        <v>455</v>
      </c>
      <c r="D8" s="30">
        <v>450</v>
      </c>
      <c r="E8" s="30">
        <v>450</v>
      </c>
      <c r="F8" s="30">
        <v>500</v>
      </c>
      <c r="G8" s="30"/>
      <c r="H8" s="29"/>
      <c r="I8" s="30"/>
      <c r="J8" s="30"/>
      <c r="K8" s="30"/>
      <c r="L8" s="30"/>
      <c r="M8" s="30"/>
      <c r="N8" s="30"/>
      <c r="O8" s="30"/>
      <c r="P8" s="30"/>
      <c r="Q8" s="30"/>
    </row>
    <row r="9" spans="1:17" x14ac:dyDescent="0.25">
      <c r="C9" s="30">
        <v>460</v>
      </c>
      <c r="D9" s="30"/>
      <c r="E9" s="30"/>
      <c r="F9" s="30">
        <v>505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x14ac:dyDescent="0.2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x14ac:dyDescent="0.25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x14ac:dyDescent="0.25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x14ac:dyDescent="0.25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54" customHeight="1" x14ac:dyDescent="0.25">
      <c r="C15" s="34" t="str">
        <f>C2</f>
        <v>Vertex S+ NEG9.R28</v>
      </c>
      <c r="D15" s="34" t="str">
        <f t="shared" ref="D15:Q15" si="0">D2</f>
        <v>Vertex S+ NEG9RC.27 Clear Black</v>
      </c>
      <c r="E15" s="34" t="str">
        <f t="shared" si="0"/>
        <v>Vertex S+ NEG9R.25 Full Black</v>
      </c>
      <c r="F15" s="34" t="str">
        <f t="shared" si="0"/>
        <v>Vertex S+ NEG18.R28</v>
      </c>
      <c r="G15" s="34" t="str">
        <f t="shared" si="0"/>
        <v>Vertex S DE09.05</v>
      </c>
      <c r="H15" s="34" t="str">
        <f t="shared" si="0"/>
        <v>Vertex S DE09.08</v>
      </c>
      <c r="I15" s="34" t="str">
        <f t="shared" si="0"/>
        <v>Vertex S DE09R.05  Full Black</v>
      </c>
      <c r="J15" s="34" t="str">
        <f t="shared" si="0"/>
        <v>Vertex S DE09R.08 Black Frame</v>
      </c>
      <c r="K15" s="34" t="str">
        <f t="shared" si="0"/>
        <v>blank 7</v>
      </c>
      <c r="L15" s="34" t="str">
        <f t="shared" si="0"/>
        <v>blank 6</v>
      </c>
      <c r="M15" s="34" t="str">
        <f t="shared" si="0"/>
        <v>blank 5</v>
      </c>
      <c r="N15" s="34" t="str">
        <f t="shared" si="0"/>
        <v>blank 4</v>
      </c>
      <c r="O15" s="34" t="str">
        <f t="shared" si="0"/>
        <v>blank 3</v>
      </c>
      <c r="P15" s="34" t="str">
        <f t="shared" si="0"/>
        <v>blank 2</v>
      </c>
      <c r="Q15" s="34" t="str">
        <f t="shared" si="0"/>
        <v>blank 1</v>
      </c>
    </row>
    <row r="16" spans="1:17" ht="18" x14ac:dyDescent="0.35">
      <c r="B16" s="25" t="s">
        <v>150</v>
      </c>
      <c r="C16" s="27">
        <v>4</v>
      </c>
      <c r="D16" s="27">
        <v>4</v>
      </c>
      <c r="E16" s="27">
        <v>4</v>
      </c>
      <c r="F16" s="27">
        <v>5</v>
      </c>
      <c r="G16" s="28">
        <v>5</v>
      </c>
      <c r="H16" s="28">
        <v>5</v>
      </c>
      <c r="I16" s="28">
        <v>4</v>
      </c>
      <c r="J16" s="28">
        <v>4</v>
      </c>
      <c r="K16" s="28"/>
      <c r="L16" s="28"/>
      <c r="M16" s="28"/>
      <c r="N16" s="28"/>
      <c r="O16" s="28"/>
      <c r="P16" s="28"/>
      <c r="Q16" s="28"/>
    </row>
    <row r="17" spans="2:17" ht="18" x14ac:dyDescent="0.35">
      <c r="B17" s="25" t="s">
        <v>151</v>
      </c>
      <c r="C17" s="32">
        <v>18</v>
      </c>
      <c r="D17" s="32">
        <v>18</v>
      </c>
      <c r="E17" s="32">
        <v>18</v>
      </c>
      <c r="F17" s="32">
        <v>24</v>
      </c>
      <c r="G17" s="33">
        <v>24</v>
      </c>
      <c r="H17" s="33">
        <v>24</v>
      </c>
      <c r="I17" s="33">
        <v>18</v>
      </c>
      <c r="J17" s="33">
        <v>18</v>
      </c>
      <c r="K17" s="33"/>
      <c r="L17" s="33"/>
      <c r="M17" s="33"/>
      <c r="N17" s="33"/>
      <c r="O17" s="33"/>
      <c r="P17" s="33"/>
      <c r="Q17" s="33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D972-08B0-4C7B-BD9A-61BA7B636ACA}">
  <sheetPr codeName="Sheet4"/>
  <dimension ref="B1:F13"/>
  <sheetViews>
    <sheetView workbookViewId="0">
      <selection activeCell="C8" sqref="C8"/>
    </sheetView>
  </sheetViews>
  <sheetFormatPr baseColWidth="10" defaultColWidth="9.140625" defaultRowHeight="15" x14ac:dyDescent="0.25"/>
  <cols>
    <col min="1" max="1" width="3.7109375" style="8" customWidth="1"/>
    <col min="2" max="2" width="10.140625" style="8" customWidth="1"/>
    <col min="3" max="3" width="14.5703125" style="8" customWidth="1"/>
    <col min="4" max="4" width="48.42578125" style="8" bestFit="1" customWidth="1"/>
    <col min="5" max="5" width="61.5703125" style="8" customWidth="1"/>
    <col min="6" max="6" width="22.5703125" style="8" bestFit="1" customWidth="1"/>
    <col min="7" max="16384" width="9.140625" style="8"/>
  </cols>
  <sheetData>
    <row r="1" spans="2:6" ht="9.9499999999999993" customHeight="1" x14ac:dyDescent="0.25"/>
    <row r="2" spans="2:6" x14ac:dyDescent="0.25">
      <c r="B2" s="137" t="s">
        <v>136</v>
      </c>
      <c r="C2" s="137"/>
      <c r="D2" s="137"/>
      <c r="E2" s="137"/>
      <c r="F2" s="137"/>
    </row>
    <row r="3" spans="2:6" x14ac:dyDescent="0.25">
      <c r="B3" s="137"/>
      <c r="C3" s="137"/>
      <c r="D3" s="137"/>
      <c r="E3" s="137"/>
      <c r="F3" s="137"/>
    </row>
    <row r="5" spans="2:6" x14ac:dyDescent="0.25">
      <c r="B5" s="12" t="s">
        <v>38</v>
      </c>
      <c r="C5" s="12" t="s">
        <v>133</v>
      </c>
      <c r="D5" s="12" t="s">
        <v>134</v>
      </c>
      <c r="E5" s="13" t="s">
        <v>135</v>
      </c>
      <c r="F5" s="12" t="s">
        <v>55</v>
      </c>
    </row>
    <row r="6" spans="2:6" ht="120" x14ac:dyDescent="0.25">
      <c r="B6" s="14" t="s">
        <v>54</v>
      </c>
      <c r="C6" s="15">
        <v>45632</v>
      </c>
      <c r="D6" s="16" t="s">
        <v>187</v>
      </c>
      <c r="E6" s="17" t="s">
        <v>186</v>
      </c>
      <c r="F6" s="14" t="s">
        <v>39</v>
      </c>
    </row>
    <row r="7" spans="2:6" ht="30" x14ac:dyDescent="0.25">
      <c r="B7" s="14" t="s">
        <v>206</v>
      </c>
      <c r="C7" s="15">
        <v>45665</v>
      </c>
      <c r="D7" s="16" t="s">
        <v>207</v>
      </c>
      <c r="E7" s="17"/>
      <c r="F7" s="14"/>
    </row>
    <row r="8" spans="2:6" x14ac:dyDescent="0.25">
      <c r="B8"/>
      <c r="C8"/>
      <c r="D8"/>
      <c r="E8"/>
      <c r="F8"/>
    </row>
    <row r="9" spans="2:6" x14ac:dyDescent="0.25">
      <c r="B9"/>
      <c r="C9"/>
      <c r="D9"/>
      <c r="E9"/>
      <c r="F9"/>
    </row>
    <row r="10" spans="2:6" x14ac:dyDescent="0.25">
      <c r="B10"/>
      <c r="C10"/>
      <c r="D10"/>
      <c r="E10"/>
      <c r="F10"/>
    </row>
    <row r="11" spans="2:6" x14ac:dyDescent="0.25">
      <c r="B11"/>
      <c r="C11"/>
      <c r="D11"/>
      <c r="E11"/>
      <c r="F11"/>
    </row>
    <row r="12" spans="2:6" x14ac:dyDescent="0.25">
      <c r="B12"/>
      <c r="C12"/>
      <c r="D12"/>
      <c r="E12"/>
      <c r="F12"/>
    </row>
    <row r="13" spans="2:6" x14ac:dyDescent="0.25">
      <c r="B13"/>
      <c r="C13"/>
      <c r="D13"/>
      <c r="E13"/>
      <c r="F13"/>
    </row>
  </sheetData>
  <sheetProtection sheet="1" objects="1" scenarios="1" selectLockedCells="1" selectUnlockedCells="1"/>
  <mergeCells count="1">
    <mergeCell ref="B2:F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05F2-D7ED-4DDF-88C1-F21DED4C163D}">
  <sheetPr codeName="Sheet8"/>
  <dimension ref="A1:U21"/>
  <sheetViews>
    <sheetView topLeftCell="B1" workbookViewId="0">
      <selection activeCell="L21" sqref="L21"/>
    </sheetView>
  </sheetViews>
  <sheetFormatPr baseColWidth="10" defaultColWidth="9.140625" defaultRowHeight="15" x14ac:dyDescent="0.25"/>
  <cols>
    <col min="8" max="8" width="19.5703125" bestFit="1" customWidth="1"/>
    <col min="9" max="10" width="15.7109375" bestFit="1" customWidth="1"/>
    <col min="12" max="12" width="10.28515625" bestFit="1" customWidth="1"/>
    <col min="13" max="13" width="6.28515625" customWidth="1"/>
    <col min="14" max="14" width="10.7109375" bestFit="1" customWidth="1"/>
    <col min="17" max="17" width="10.7109375" bestFit="1" customWidth="1"/>
    <col min="19" max="19" width="11.5703125" bestFit="1" customWidth="1"/>
  </cols>
  <sheetData>
    <row r="1" spans="1:21" x14ac:dyDescent="0.25">
      <c r="A1" t="s">
        <v>0</v>
      </c>
      <c r="B1" t="s">
        <v>2</v>
      </c>
      <c r="C1" t="s">
        <v>3</v>
      </c>
      <c r="D1" t="s">
        <v>5</v>
      </c>
      <c r="E1" t="s">
        <v>7</v>
      </c>
      <c r="F1" t="s">
        <v>6</v>
      </c>
      <c r="G1" t="s">
        <v>10</v>
      </c>
      <c r="H1" t="s">
        <v>11</v>
      </c>
      <c r="I1" t="s">
        <v>12</v>
      </c>
      <c r="J1" t="s">
        <v>16</v>
      </c>
      <c r="L1" s="3" t="s">
        <v>50</v>
      </c>
      <c r="N1" t="s">
        <v>34</v>
      </c>
      <c r="O1">
        <v>6000</v>
      </c>
      <c r="Q1" s="3" t="s">
        <v>139</v>
      </c>
      <c r="S1" t="s">
        <v>165</v>
      </c>
      <c r="U1" t="s">
        <v>174</v>
      </c>
    </row>
    <row r="2" spans="1:21" x14ac:dyDescent="0.25">
      <c r="A2">
        <v>4</v>
      </c>
      <c r="B2">
        <v>1</v>
      </c>
      <c r="C2">
        <v>1</v>
      </c>
      <c r="D2">
        <v>400</v>
      </c>
      <c r="E2">
        <v>1</v>
      </c>
      <c r="F2">
        <v>2000</v>
      </c>
      <c r="G2" t="s">
        <v>46</v>
      </c>
      <c r="H2" t="s">
        <v>185</v>
      </c>
      <c r="I2">
        <v>30</v>
      </c>
      <c r="J2" s="1">
        <v>1</v>
      </c>
      <c r="L2" s="3">
        <f>HLOOKUP(MAIN!H9,Module!C15:Q17,2,FALSE)</f>
        <v>4</v>
      </c>
      <c r="N2" t="s">
        <v>35</v>
      </c>
      <c r="O2">
        <v>8000</v>
      </c>
      <c r="Q2" s="3">
        <v>3</v>
      </c>
      <c r="S2" t="s">
        <v>166</v>
      </c>
      <c r="T2">
        <v>0</v>
      </c>
      <c r="U2">
        <v>10</v>
      </c>
    </row>
    <row r="3" spans="1:21" x14ac:dyDescent="0.25">
      <c r="A3">
        <v>5</v>
      </c>
      <c r="B3">
        <v>2</v>
      </c>
      <c r="C3">
        <v>3</v>
      </c>
      <c r="D3">
        <v>405</v>
      </c>
      <c r="E3">
        <v>2</v>
      </c>
      <c r="F3">
        <v>3000</v>
      </c>
      <c r="G3" t="s">
        <v>47</v>
      </c>
      <c r="H3" t="s">
        <v>178</v>
      </c>
      <c r="I3">
        <v>50</v>
      </c>
      <c r="J3" s="1">
        <v>1</v>
      </c>
      <c r="L3" s="3" t="s">
        <v>51</v>
      </c>
      <c r="N3" t="s">
        <v>36</v>
      </c>
      <c r="O3">
        <v>10000</v>
      </c>
      <c r="Q3" s="3">
        <v>3.5</v>
      </c>
      <c r="S3" t="s">
        <v>167</v>
      </c>
      <c r="T3">
        <v>45</v>
      </c>
      <c r="U3">
        <v>20</v>
      </c>
    </row>
    <row r="4" spans="1:21" x14ac:dyDescent="0.25">
      <c r="A4">
        <v>6</v>
      </c>
      <c r="B4">
        <v>3</v>
      </c>
      <c r="D4">
        <v>410</v>
      </c>
      <c r="E4">
        <v>3</v>
      </c>
      <c r="F4">
        <v>3600</v>
      </c>
      <c r="H4" t="s">
        <v>179</v>
      </c>
      <c r="I4">
        <v>75</v>
      </c>
      <c r="J4" s="1">
        <v>0.99</v>
      </c>
      <c r="L4" s="3">
        <f>HLOOKUP(MAIN!H9,Module!C15:Q17,3,FALSE)</f>
        <v>18</v>
      </c>
      <c r="N4" t="s">
        <v>37</v>
      </c>
      <c r="O4">
        <v>12000</v>
      </c>
      <c r="Q4" s="3">
        <v>4</v>
      </c>
      <c r="S4" t="s">
        <v>168</v>
      </c>
      <c r="T4">
        <v>45</v>
      </c>
      <c r="U4">
        <v>30</v>
      </c>
    </row>
    <row r="5" spans="1:21" x14ac:dyDescent="0.25">
      <c r="A5">
        <v>7</v>
      </c>
      <c r="D5">
        <v>415</v>
      </c>
      <c r="E5">
        <v>4</v>
      </c>
      <c r="F5">
        <v>4000</v>
      </c>
      <c r="H5" t="s">
        <v>180</v>
      </c>
      <c r="I5">
        <v>100</v>
      </c>
      <c r="J5" s="1">
        <v>0.97</v>
      </c>
      <c r="Q5" s="3">
        <v>4.5</v>
      </c>
      <c r="S5" t="s">
        <v>169</v>
      </c>
      <c r="T5">
        <v>90</v>
      </c>
      <c r="U5">
        <v>40</v>
      </c>
    </row>
    <row r="6" spans="1:21" x14ac:dyDescent="0.25">
      <c r="A6">
        <v>8</v>
      </c>
      <c r="D6">
        <v>420</v>
      </c>
      <c r="E6">
        <v>5</v>
      </c>
      <c r="F6">
        <v>5000</v>
      </c>
      <c r="H6" t="s">
        <v>181</v>
      </c>
      <c r="I6">
        <v>130</v>
      </c>
      <c r="J6" s="1">
        <v>0.95</v>
      </c>
      <c r="Q6" s="3">
        <v>5</v>
      </c>
      <c r="S6" t="s">
        <v>170</v>
      </c>
      <c r="T6">
        <v>90</v>
      </c>
      <c r="U6">
        <v>50</v>
      </c>
    </row>
    <row r="7" spans="1:21" x14ac:dyDescent="0.25">
      <c r="A7">
        <v>9</v>
      </c>
      <c r="D7">
        <v>425</v>
      </c>
      <c r="H7" t="s">
        <v>182</v>
      </c>
      <c r="I7">
        <v>160</v>
      </c>
      <c r="J7" s="1">
        <v>0.93</v>
      </c>
      <c r="Q7" s="3">
        <v>5.5</v>
      </c>
      <c r="S7" t="s">
        <v>171</v>
      </c>
      <c r="T7">
        <v>135</v>
      </c>
      <c r="U7">
        <v>60</v>
      </c>
    </row>
    <row r="8" spans="1:21" x14ac:dyDescent="0.25">
      <c r="A8">
        <v>10</v>
      </c>
      <c r="D8">
        <v>430</v>
      </c>
      <c r="H8" t="s">
        <v>183</v>
      </c>
      <c r="I8">
        <v>200</v>
      </c>
      <c r="J8" s="1">
        <v>0.91</v>
      </c>
      <c r="S8" t="s">
        <v>172</v>
      </c>
      <c r="T8">
        <v>135</v>
      </c>
      <c r="U8">
        <v>70</v>
      </c>
    </row>
    <row r="9" spans="1:21" x14ac:dyDescent="0.25">
      <c r="A9">
        <v>11</v>
      </c>
      <c r="D9">
        <v>435</v>
      </c>
      <c r="H9" t="s">
        <v>184</v>
      </c>
      <c r="I9">
        <v>250</v>
      </c>
      <c r="J9" s="1">
        <v>0.9</v>
      </c>
      <c r="S9" t="s">
        <v>173</v>
      </c>
      <c r="T9">
        <v>180</v>
      </c>
      <c r="U9">
        <v>80</v>
      </c>
    </row>
    <row r="10" spans="1:21" x14ac:dyDescent="0.25">
      <c r="A10">
        <v>12</v>
      </c>
      <c r="U10">
        <v>90</v>
      </c>
    </row>
    <row r="11" spans="1:21" x14ac:dyDescent="0.25">
      <c r="A11">
        <v>13</v>
      </c>
    </row>
    <row r="12" spans="1:21" x14ac:dyDescent="0.25">
      <c r="A12">
        <v>14</v>
      </c>
    </row>
    <row r="13" spans="1:21" x14ac:dyDescent="0.25">
      <c r="A13">
        <v>15</v>
      </c>
      <c r="S13" s="3" t="str">
        <f>MAIN!H22</f>
        <v>Süd</v>
      </c>
      <c r="T13" s="3">
        <f>MAIN!I22</f>
        <v>30</v>
      </c>
      <c r="U13" s="3">
        <f>MAIN!J22</f>
        <v>14</v>
      </c>
    </row>
    <row r="14" spans="1:21" x14ac:dyDescent="0.25">
      <c r="A14">
        <v>16</v>
      </c>
      <c r="S14" s="3" t="str">
        <f>MAIN!H23</f>
        <v>Süd-West</v>
      </c>
      <c r="T14" s="3">
        <f>MAIN!I23</f>
        <v>50</v>
      </c>
      <c r="U14" s="3">
        <f>MAIN!J23</f>
        <v>13</v>
      </c>
    </row>
    <row r="15" spans="1:21" x14ac:dyDescent="0.25">
      <c r="A15">
        <v>17</v>
      </c>
      <c r="S15" s="3" t="str">
        <f>MAIN!H24</f>
        <v>Ost</v>
      </c>
      <c r="T15" s="3">
        <f>MAIN!I24</f>
        <v>30</v>
      </c>
      <c r="U15" s="3">
        <f>MAIN!J24</f>
        <v>4</v>
      </c>
    </row>
    <row r="16" spans="1:21" x14ac:dyDescent="0.25">
      <c r="A16">
        <v>18</v>
      </c>
      <c r="S16" s="3"/>
      <c r="T16" s="3"/>
      <c r="U16" s="3"/>
    </row>
    <row r="17" spans="1:21" x14ac:dyDescent="0.25">
      <c r="A17">
        <v>19</v>
      </c>
      <c r="S17" s="3">
        <f>VLOOKUP(S13,S2:T9,2,FALSE)+ABS(30-T13)</f>
        <v>0</v>
      </c>
      <c r="T17" s="44">
        <f>S17*0.125/100</f>
        <v>0</v>
      </c>
      <c r="U17" s="45">
        <f>U13/IF(MAIN!$J$15&lt;2,U13,IF(MAIN!$J$15&lt;3,SUM($U$13:$U$14),SUM($U$13:$U$15)))</f>
        <v>0.51851851851851849</v>
      </c>
    </row>
    <row r="18" spans="1:21" x14ac:dyDescent="0.25">
      <c r="A18">
        <v>20</v>
      </c>
      <c r="S18" s="3">
        <f>VLOOKUP(S14,S2:T9,2,FALSE)+ABS(30-T14)</f>
        <v>65</v>
      </c>
      <c r="T18" s="44">
        <f>S18*0.125/100</f>
        <v>8.1250000000000003E-2</v>
      </c>
      <c r="U18" s="45">
        <f>U14/IF(MAIN!$J$15&lt;2,U14,IF(MAIN!$J$15&lt;3,SUM($U$13:$U$14),SUM($U$13:$U$15)))</f>
        <v>0.48148148148148145</v>
      </c>
    </row>
    <row r="19" spans="1:21" x14ac:dyDescent="0.25">
      <c r="S19" s="3">
        <f>VLOOKUP(S15,S2:T9,2,FALSE)+ABS(30-T15)</f>
        <v>90</v>
      </c>
      <c r="T19" s="44">
        <f>S19*0.125/100</f>
        <v>0.1125</v>
      </c>
      <c r="U19" s="45">
        <f>U15/IF(MAIN!$J$15&lt;2,U15,IF(MAIN!$J$15&lt;3,SUM($U$13:$U$14),SUM($U$13:$U$15)))</f>
        <v>0.14814814814814814</v>
      </c>
    </row>
    <row r="20" spans="1:21" x14ac:dyDescent="0.25">
      <c r="S20" s="3"/>
      <c r="T20" s="46">
        <f>IF(MAIN!J15&lt;2,Data!T17,IF(MAIN!J15&lt;3,Data!T17*Data!U17+Data!T18*Data!U18,Data!T17*Data!U17+Data!T18*Data!U18+Data!T19*Data!U19))</f>
        <v>3.9120370370370368E-2</v>
      </c>
      <c r="U20" s="3"/>
    </row>
    <row r="21" spans="1:21" x14ac:dyDescent="0.25">
      <c r="S21" t="s">
        <v>177</v>
      </c>
      <c r="U21" s="1">
        <v>0.1</v>
      </c>
    </row>
  </sheetData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16</vt:i4>
      </vt:variant>
    </vt:vector>
  </HeadingPairs>
  <TitlesOfParts>
    <vt:vector size="18" baseType="lpstr">
      <vt:lpstr>MAIN</vt:lpstr>
      <vt:lpstr>ReleaseNotes</vt:lpstr>
      <vt:lpstr>blank_1</vt:lpstr>
      <vt:lpstr>blank_2</vt:lpstr>
      <vt:lpstr>blank_3</vt:lpstr>
      <vt:lpstr>blank_4</vt:lpstr>
      <vt:lpstr>blank_5</vt:lpstr>
      <vt:lpstr>blank_6</vt:lpstr>
      <vt:lpstr>blank_7</vt:lpstr>
      <vt:lpstr>MAIN!Druckbereich</vt:lpstr>
      <vt:lpstr>Vertex_S__NEG18.R28</vt:lpstr>
      <vt:lpstr>Vertex_S__NEG9.R28</vt:lpstr>
      <vt:lpstr>Vertex_S__NEG9R.25_Full_Black</vt:lpstr>
      <vt:lpstr>Vertex_S__NEG9RC.27_Clear_Black</vt:lpstr>
      <vt:lpstr>Vertex_S_DE09.05</vt:lpstr>
      <vt:lpstr>Vertex_S_DE09.08</vt:lpstr>
      <vt:lpstr>Vertex_S_DE09R.05__Full_Black</vt:lpstr>
      <vt:lpstr>Vertex_S_DE09R.08_Black_Frame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Koerner_Lars TS/SA</dc:creator>
  <cp:lastModifiedBy>Klara Richter | Densys pv5</cp:lastModifiedBy>
  <cp:lastPrinted>2024-12-06T19:14:30Z</cp:lastPrinted>
  <dcterms:created xsi:type="dcterms:W3CDTF">2015-06-05T18:19:34Z</dcterms:created>
  <dcterms:modified xsi:type="dcterms:W3CDTF">2025-01-24T16:31:18Z</dcterms:modified>
</cp:coreProperties>
</file>